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0" yWindow="0" windowWidth="25800" windowHeight="18780" tabRatio="833" firstSheet="1" activeTab="14"/>
  </bookViews>
  <sheets>
    <sheet name="How to use this template" sheetId="9" r:id="rId1"/>
    <sheet name="Student List" sheetId="5" r:id="rId2"/>
    <sheet name="August" sheetId="4" r:id="rId3"/>
    <sheet name="September" sheetId="14" r:id="rId4"/>
    <sheet name="October" sheetId="15" r:id="rId5"/>
    <sheet name="November" sheetId="16" r:id="rId6"/>
    <sheet name="December" sheetId="17" r:id="rId7"/>
    <sheet name="January" sheetId="18" r:id="rId8"/>
    <sheet name="February" sheetId="8" r:id="rId9"/>
    <sheet name="March" sheetId="19" r:id="rId10"/>
    <sheet name="April" sheetId="20" r:id="rId11"/>
    <sheet name="May" sheetId="21" r:id="rId12"/>
    <sheet name="June" sheetId="22" r:id="rId13"/>
    <sheet name="July" sheetId="23" r:id="rId14"/>
    <sheet name="Student Attendance Report" sheetId="6" r:id="rId15"/>
  </sheets>
  <definedNames>
    <definedName name="CalendarYear">August!$AM$1</definedName>
    <definedName name="Code1">August!$D$3</definedName>
    <definedName name="Code1Text">August!$E$3</definedName>
    <definedName name="Code2">August!$H$3</definedName>
    <definedName name="Code2Text">August!$I$3</definedName>
    <definedName name="Code3">August!$L$3</definedName>
    <definedName name="Code3Text">August!$M$3</definedName>
    <definedName name="Code4">August!$P$3</definedName>
    <definedName name="Code4Text">August!$Q$3</definedName>
    <definedName name="Code5">August!$T$3</definedName>
    <definedName name="Code5Text">August!$U$3</definedName>
    <definedName name="ColorKeyText">August!$C$3</definedName>
    <definedName name="_xlnm.Print_Titles" localSheetId="1">'Student List'!$A:$C,'Student List'!$3:$3</definedName>
    <definedName name="StudentID">StudentList[Student ID]</definedName>
    <definedName name="StudentLookup">'Student Attendance Report'!$B$4</definedName>
    <definedName name="StudentName">StudentList[Student Full Name]</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2" i="8" l="1"/>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C7" i="23"/>
  <c r="C8" i="23"/>
  <c r="C9" i="23"/>
  <c r="C10" i="23"/>
  <c r="C11" i="23"/>
  <c r="C7" i="22"/>
  <c r="C8" i="22"/>
  <c r="C9" i="22"/>
  <c r="C10" i="22"/>
  <c r="C11" i="22"/>
  <c r="C7" i="21"/>
  <c r="C8" i="21"/>
  <c r="C9" i="21"/>
  <c r="C10" i="21"/>
  <c r="C11" i="21"/>
  <c r="C7" i="20"/>
  <c r="C8" i="20"/>
  <c r="C9" i="20"/>
  <c r="C10" i="20"/>
  <c r="C11" i="20"/>
  <c r="C7" i="19"/>
  <c r="C8" i="19"/>
  <c r="C9" i="19"/>
  <c r="C10" i="19"/>
  <c r="C11" i="19"/>
  <c r="C7" i="8"/>
  <c r="C8" i="8"/>
  <c r="C9" i="8"/>
  <c r="C10" i="8"/>
  <c r="C11" i="8"/>
  <c r="C7" i="18"/>
  <c r="C8" i="18"/>
  <c r="C9" i="18"/>
  <c r="C10" i="18"/>
  <c r="C11" i="18"/>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AH36"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B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B5" i="22"/>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L11" i="23"/>
  <c r="AK11" i="23"/>
  <c r="AJ11" i="23"/>
  <c r="AI11" i="23"/>
  <c r="AL10" i="23"/>
  <c r="AK10" i="23"/>
  <c r="AJ10" i="23"/>
  <c r="AI10" i="23"/>
  <c r="AL9" i="23"/>
  <c r="AK9" i="23"/>
  <c r="AJ9" i="23"/>
  <c r="AI9" i="23"/>
  <c r="AL8" i="23"/>
  <c r="AK8" i="23"/>
  <c r="AJ8" i="23"/>
  <c r="AI8" i="23"/>
  <c r="AL7" i="23"/>
  <c r="AK7" i="23"/>
  <c r="AK12" i="23"/>
  <c r="AJ7" i="23"/>
  <c r="AI7" i="23"/>
  <c r="AI12" i="23"/>
  <c r="U3" i="23"/>
  <c r="T3" i="23"/>
  <c r="Q3" i="23"/>
  <c r="P3" i="23"/>
  <c r="M3" i="23"/>
  <c r="L3" i="23"/>
  <c r="I3" i="23"/>
  <c r="H3" i="23"/>
  <c r="E3" i="23"/>
  <c r="D3" i="23"/>
  <c r="C3" i="23"/>
  <c r="AM1" i="23"/>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L11" i="22"/>
  <c r="AK11" i="22"/>
  <c r="AJ11" i="22"/>
  <c r="AM11" i="22"/>
  <c r="AI11" i="22"/>
  <c r="AL10" i="22"/>
  <c r="AK10" i="22"/>
  <c r="AJ10" i="22"/>
  <c r="AI10" i="22"/>
  <c r="AL9" i="22"/>
  <c r="AK9" i="22"/>
  <c r="AJ9" i="22"/>
  <c r="AI9" i="22"/>
  <c r="AL8" i="22"/>
  <c r="AK8" i="22"/>
  <c r="AJ8" i="22"/>
  <c r="AI8" i="22"/>
  <c r="AL7" i="22"/>
  <c r="AL12" i="22"/>
  <c r="AK7" i="22"/>
  <c r="AK12" i="22"/>
  <c r="AJ7" i="22"/>
  <c r="AJ12" i="22"/>
  <c r="AI7" i="22"/>
  <c r="AI12" i="22"/>
  <c r="U3" i="22"/>
  <c r="T3" i="22"/>
  <c r="Q3" i="22"/>
  <c r="P3" i="22"/>
  <c r="M3" i="22"/>
  <c r="L3" i="22"/>
  <c r="I3" i="22"/>
  <c r="H3" i="22"/>
  <c r="E3" i="22"/>
  <c r="D3" i="22"/>
  <c r="C3" i="22"/>
  <c r="AM1"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B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AL11" i="21"/>
  <c r="AK11" i="21"/>
  <c r="AJ11" i="21"/>
  <c r="AI11" i="21"/>
  <c r="AL10" i="21"/>
  <c r="AK10" i="21"/>
  <c r="AJ10" i="21"/>
  <c r="AI10" i="21"/>
  <c r="AL9" i="21"/>
  <c r="AK9" i="21"/>
  <c r="AJ9" i="21"/>
  <c r="AI9" i="21"/>
  <c r="AL8" i="21"/>
  <c r="AK8" i="21"/>
  <c r="AJ8" i="21"/>
  <c r="AI8" i="21"/>
  <c r="AL7" i="21"/>
  <c r="AL12" i="21"/>
  <c r="AK7" i="21"/>
  <c r="AJ7" i="21"/>
  <c r="AJ12" i="21"/>
  <c r="AI7" i="21"/>
  <c r="AI12" i="21"/>
  <c r="U3" i="21"/>
  <c r="T3" i="21"/>
  <c r="Q3" i="21"/>
  <c r="P3" i="21"/>
  <c r="M3" i="21"/>
  <c r="L3" i="21"/>
  <c r="I3" i="21"/>
  <c r="H3" i="21"/>
  <c r="E3" i="21"/>
  <c r="D3" i="21"/>
  <c r="C3" i="21"/>
  <c r="AM1" i="21"/>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L11" i="20"/>
  <c r="AK11" i="20"/>
  <c r="AJ11" i="20"/>
  <c r="AI11" i="20"/>
  <c r="AL10" i="20"/>
  <c r="AK10" i="20"/>
  <c r="AJ10" i="20"/>
  <c r="AI10" i="20"/>
  <c r="AL9" i="20"/>
  <c r="AK9" i="20"/>
  <c r="AJ9" i="20"/>
  <c r="AI9" i="20"/>
  <c r="AL8" i="20"/>
  <c r="AK8" i="20"/>
  <c r="AJ8" i="20"/>
  <c r="AI8" i="20"/>
  <c r="AL7" i="20"/>
  <c r="AL12" i="20"/>
  <c r="AK7" i="20"/>
  <c r="AJ7" i="20"/>
  <c r="AJ12" i="20"/>
  <c r="AI7" i="20"/>
  <c r="U3" i="20"/>
  <c r="T3" i="20"/>
  <c r="Q3" i="20"/>
  <c r="P3" i="20"/>
  <c r="M3" i="20"/>
  <c r="L3" i="20"/>
  <c r="I3" i="20"/>
  <c r="H3" i="20"/>
  <c r="E3" i="20"/>
  <c r="D3" i="20"/>
  <c r="C3" i="20"/>
  <c r="AM1"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B5"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AL11" i="19"/>
  <c r="AK11" i="19"/>
  <c r="AJ11" i="19"/>
  <c r="AI11" i="19"/>
  <c r="AL10" i="19"/>
  <c r="AK10" i="19"/>
  <c r="AJ10" i="19"/>
  <c r="AI10" i="19"/>
  <c r="AL9" i="19"/>
  <c r="AK9" i="19"/>
  <c r="AJ9" i="19"/>
  <c r="AI9" i="19"/>
  <c r="AL8" i="19"/>
  <c r="AK8" i="19"/>
  <c r="AJ8" i="19"/>
  <c r="AI8" i="19"/>
  <c r="AL7" i="19"/>
  <c r="AL12" i="19"/>
  <c r="AK7" i="19"/>
  <c r="AJ7" i="19"/>
  <c r="AJ12" i="19"/>
  <c r="AI7" i="19"/>
  <c r="U3" i="19"/>
  <c r="T3" i="19"/>
  <c r="Q3" i="19"/>
  <c r="P3" i="19"/>
  <c r="M3" i="19"/>
  <c r="L3" i="19"/>
  <c r="I3" i="19"/>
  <c r="H3" i="19"/>
  <c r="E3" i="19"/>
  <c r="D3" i="19"/>
  <c r="C3" i="19"/>
  <c r="AM1" i="19"/>
  <c r="B5" i="17"/>
  <c r="B5" i="16"/>
  <c r="B5" i="15"/>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B5"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AL11" i="18"/>
  <c r="AK11" i="18"/>
  <c r="AJ11" i="18"/>
  <c r="AI11" i="18"/>
  <c r="AL10" i="18"/>
  <c r="AK10" i="18"/>
  <c r="AJ10" i="18"/>
  <c r="AI10" i="18"/>
  <c r="AL9" i="18"/>
  <c r="AK9" i="18"/>
  <c r="AJ9" i="18"/>
  <c r="AI9" i="18"/>
  <c r="AL8" i="18"/>
  <c r="AK8" i="18"/>
  <c r="AJ8" i="18"/>
  <c r="AI8" i="18"/>
  <c r="AL7" i="18"/>
  <c r="AK7" i="18"/>
  <c r="AK12" i="18"/>
  <c r="AJ7" i="18"/>
  <c r="AI7" i="18"/>
  <c r="AI12" i="18"/>
  <c r="U3" i="18"/>
  <c r="T3" i="18"/>
  <c r="Q3" i="18"/>
  <c r="P3" i="18"/>
  <c r="M3" i="18"/>
  <c r="L3" i="18"/>
  <c r="I3" i="18"/>
  <c r="H3" i="18"/>
  <c r="E3" i="18"/>
  <c r="D3" i="18"/>
  <c r="C3" i="18"/>
  <c r="AM1"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AL11" i="17"/>
  <c r="AK11" i="17"/>
  <c r="AJ11" i="17"/>
  <c r="AI11" i="17"/>
  <c r="C11" i="17"/>
  <c r="AL10" i="17"/>
  <c r="AK10" i="17"/>
  <c r="AJ10" i="17"/>
  <c r="AI10" i="17"/>
  <c r="C10" i="17"/>
  <c r="AL9" i="17"/>
  <c r="AK9" i="17"/>
  <c r="AJ9" i="17"/>
  <c r="AI9" i="17"/>
  <c r="C9" i="17"/>
  <c r="AL8" i="17"/>
  <c r="AK8" i="17"/>
  <c r="AJ8" i="17"/>
  <c r="AI8" i="17"/>
  <c r="C8" i="17"/>
  <c r="AL7" i="17"/>
  <c r="AK7" i="17"/>
  <c r="AJ7" i="17"/>
  <c r="AI7" i="17"/>
  <c r="C7" i="17"/>
  <c r="U3" i="17"/>
  <c r="T3" i="17"/>
  <c r="Q3" i="17"/>
  <c r="P3" i="17"/>
  <c r="M3" i="17"/>
  <c r="L3" i="17"/>
  <c r="I3" i="17"/>
  <c r="H3" i="17"/>
  <c r="E3" i="17"/>
  <c r="D3" i="17"/>
  <c r="C3" i="17"/>
  <c r="AM1"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L11" i="16"/>
  <c r="AK11" i="16"/>
  <c r="AJ11" i="16"/>
  <c r="AI11" i="16"/>
  <c r="C11" i="16"/>
  <c r="AL10" i="16"/>
  <c r="AK10" i="16"/>
  <c r="AJ10" i="16"/>
  <c r="AI10" i="16"/>
  <c r="C10" i="16"/>
  <c r="AL9" i="16"/>
  <c r="AK9" i="16"/>
  <c r="AJ9" i="16"/>
  <c r="AI9" i="16"/>
  <c r="C9" i="16"/>
  <c r="AL8" i="16"/>
  <c r="AK8" i="16"/>
  <c r="AJ8" i="16"/>
  <c r="AI8" i="16"/>
  <c r="C8" i="16"/>
  <c r="AL7" i="16"/>
  <c r="AK7" i="16"/>
  <c r="AJ7" i="16"/>
  <c r="AI7" i="16"/>
  <c r="C7" i="16"/>
  <c r="U3" i="16"/>
  <c r="T3" i="16"/>
  <c r="Q3" i="16"/>
  <c r="P3" i="16"/>
  <c r="M3" i="16"/>
  <c r="L3" i="16"/>
  <c r="I3" i="16"/>
  <c r="H3" i="16"/>
  <c r="E3" i="16"/>
  <c r="D3" i="16"/>
  <c r="C3" i="16"/>
  <c r="AM1" i="16"/>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AL11" i="15"/>
  <c r="AK11" i="15"/>
  <c r="AJ11" i="15"/>
  <c r="AI11" i="15"/>
  <c r="C11" i="15"/>
  <c r="AL10" i="15"/>
  <c r="AK10" i="15"/>
  <c r="AJ10" i="15"/>
  <c r="AI10" i="15"/>
  <c r="C10" i="15"/>
  <c r="AL9" i="15"/>
  <c r="AK9" i="15"/>
  <c r="AJ9" i="15"/>
  <c r="AI9" i="15"/>
  <c r="C9" i="15"/>
  <c r="AL8" i="15"/>
  <c r="AK8" i="15"/>
  <c r="AJ8" i="15"/>
  <c r="AI8" i="15"/>
  <c r="C8" i="15"/>
  <c r="AL7" i="15"/>
  <c r="AK7" i="15"/>
  <c r="AJ7" i="15"/>
  <c r="AI7" i="15"/>
  <c r="C7" i="15"/>
  <c r="U3" i="15"/>
  <c r="T3" i="15"/>
  <c r="Q3" i="15"/>
  <c r="P3" i="15"/>
  <c r="M3" i="15"/>
  <c r="L3" i="15"/>
  <c r="I3" i="15"/>
  <c r="H3" i="15"/>
  <c r="E3" i="15"/>
  <c r="D3" i="15"/>
  <c r="C3" i="15"/>
  <c r="AM1" i="15"/>
  <c r="AH38" i="6"/>
  <c r="AM9" i="18"/>
  <c r="AM11" i="18"/>
  <c r="AM8" i="19"/>
  <c r="AM10" i="19"/>
  <c r="AM8" i="21"/>
  <c r="AM10" i="21"/>
  <c r="AM9" i="22"/>
  <c r="AM10" i="22"/>
  <c r="AM7" i="16"/>
  <c r="AL12" i="16"/>
  <c r="AM9" i="16"/>
  <c r="AM11" i="16"/>
  <c r="AM8" i="20"/>
  <c r="AM10" i="20"/>
  <c r="AM8" i="23"/>
  <c r="AM9" i="23"/>
  <c r="AM10" i="23"/>
  <c r="AM11" i="23"/>
  <c r="AK38" i="6"/>
  <c r="AI38" i="6"/>
  <c r="AK36" i="6"/>
  <c r="AI36" i="6"/>
  <c r="AJ38" i="6"/>
  <c r="AJ36" i="6"/>
  <c r="AK12" i="21"/>
  <c r="AL12" i="23"/>
  <c r="AM7" i="23"/>
  <c r="AJ12" i="23"/>
  <c r="AM9" i="21"/>
  <c r="AM11" i="21"/>
  <c r="AM8" i="22"/>
  <c r="AM7" i="22"/>
  <c r="AI12" i="20"/>
  <c r="AK12" i="20"/>
  <c r="AM9" i="20"/>
  <c r="AM11" i="20"/>
  <c r="AM7" i="21"/>
  <c r="AI12" i="19"/>
  <c r="AK12" i="19"/>
  <c r="AM9" i="19"/>
  <c r="AM11" i="19"/>
  <c r="AM7" i="20"/>
  <c r="AM10" i="15"/>
  <c r="AM7" i="17"/>
  <c r="AL12" i="17"/>
  <c r="AM9" i="17"/>
  <c r="AM11" i="17"/>
  <c r="AJ12" i="18"/>
  <c r="AL12" i="18"/>
  <c r="AM8" i="18"/>
  <c r="AM10" i="18"/>
  <c r="AM7" i="19"/>
  <c r="AM7" i="18"/>
  <c r="AM7" i="15"/>
  <c r="AL12" i="15"/>
  <c r="AI12" i="16"/>
  <c r="AK12" i="16"/>
  <c r="AM8" i="16"/>
  <c r="AM10" i="16"/>
  <c r="AI12" i="17"/>
  <c r="AK12" i="17"/>
  <c r="AM8" i="17"/>
  <c r="AM10" i="17"/>
  <c r="AJ12" i="17"/>
  <c r="AI12" i="15"/>
  <c r="AK12" i="15"/>
  <c r="AM8" i="15"/>
  <c r="AM9" i="15"/>
  <c r="AM11" i="15"/>
  <c r="AJ12" i="16"/>
  <c r="AJ12" i="15"/>
  <c r="C7" i="14"/>
  <c r="C8" i="14"/>
  <c r="C9" i="14"/>
  <c r="C10" i="14"/>
  <c r="C11" i="14"/>
  <c r="AM12" i="21"/>
  <c r="AM12" i="23"/>
  <c r="AM12" i="20"/>
  <c r="AM12" i="18"/>
  <c r="AM12" i="22"/>
  <c r="AM12" i="19"/>
  <c r="AM12" i="17"/>
  <c r="AM12" i="16"/>
  <c r="AM12" i="15"/>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G5" i="14"/>
  <c r="F5" i="14"/>
  <c r="E5" i="14"/>
  <c r="AG5" i="14"/>
  <c r="AF5" i="14"/>
  <c r="AE5" i="14"/>
  <c r="AD5" i="14"/>
  <c r="AC5" i="14"/>
  <c r="AB5" i="14"/>
  <c r="AA5" i="14"/>
  <c r="Z5" i="14"/>
  <c r="Y5" i="14"/>
  <c r="X5" i="14"/>
  <c r="W5" i="14"/>
  <c r="V5" i="14"/>
  <c r="U5" i="14"/>
  <c r="T5" i="14"/>
  <c r="S5" i="14"/>
  <c r="R5" i="14"/>
  <c r="Q5" i="14"/>
  <c r="P5" i="14"/>
  <c r="O5" i="14"/>
  <c r="N5" i="14"/>
  <c r="M5" i="14"/>
  <c r="L5" i="14"/>
  <c r="K5" i="14"/>
  <c r="J5" i="14"/>
  <c r="I5" i="14"/>
  <c r="H5" i="14"/>
  <c r="D5" i="14"/>
  <c r="AH12" i="14"/>
  <c r="B5"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AL11" i="14"/>
  <c r="AK11" i="14"/>
  <c r="AJ11" i="14"/>
  <c r="AI11" i="14"/>
  <c r="AL10" i="14"/>
  <c r="AK10" i="14"/>
  <c r="AJ10" i="14"/>
  <c r="AI10" i="14"/>
  <c r="AL9" i="14"/>
  <c r="AK9" i="14"/>
  <c r="AJ9" i="14"/>
  <c r="AI9" i="14"/>
  <c r="AL8" i="14"/>
  <c r="AK8" i="14"/>
  <c r="AJ8" i="14"/>
  <c r="AI8" i="14"/>
  <c r="AL7" i="14"/>
  <c r="AK7" i="14"/>
  <c r="AJ7" i="14"/>
  <c r="AI7" i="14"/>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I12" i="14"/>
  <c r="AK12" i="14"/>
  <c r="AM7" i="14"/>
  <c r="AL12" i="14"/>
  <c r="AM8" i="14"/>
  <c r="AM10" i="14"/>
  <c r="AM9" i="14"/>
  <c r="AM11" i="14"/>
  <c r="AJ12" i="14"/>
  <c r="U3" i="8"/>
  <c r="T3" i="8"/>
  <c r="Q3" i="8"/>
  <c r="P3" i="8"/>
  <c r="M3" i="8"/>
  <c r="L3" i="8"/>
  <c r="I3" i="8"/>
  <c r="H3" i="8"/>
  <c r="E3" i="8"/>
  <c r="D3" i="8"/>
  <c r="C3" i="8"/>
  <c r="AM12" i="14"/>
  <c r="AM1" i="8"/>
  <c r="AL11" i="8"/>
  <c r="AK11" i="8"/>
  <c r="AJ11" i="8"/>
  <c r="AI11" i="8"/>
  <c r="AL10" i="8"/>
  <c r="AK10" i="8"/>
  <c r="AJ10" i="8"/>
  <c r="AI10" i="8"/>
  <c r="AL9" i="8"/>
  <c r="AK9" i="8"/>
  <c r="AJ9" i="8"/>
  <c r="AI9" i="8"/>
  <c r="AL8" i="8"/>
  <c r="AK8" i="8"/>
  <c r="AJ8" i="8"/>
  <c r="AI8" i="8"/>
  <c r="AL7" i="8"/>
  <c r="AL12" i="8"/>
  <c r="AK7" i="8"/>
  <c r="AK12" i="8"/>
  <c r="AJ7" i="8"/>
  <c r="AJ12" i="8"/>
  <c r="AI7" i="8"/>
  <c r="AI12" i="8"/>
  <c r="AF5" i="8"/>
  <c r="AE5" i="8"/>
  <c r="AD5" i="8"/>
  <c r="AC5" i="8"/>
  <c r="AB5" i="8"/>
  <c r="AA5" i="8"/>
  <c r="Z5" i="8"/>
  <c r="Y5" i="8"/>
  <c r="X5" i="8"/>
  <c r="W5" i="8"/>
  <c r="V5" i="8"/>
  <c r="U5" i="8"/>
  <c r="T5" i="8"/>
  <c r="S5" i="8"/>
  <c r="R5" i="8"/>
  <c r="Q5" i="8"/>
  <c r="P5" i="8"/>
  <c r="O5" i="8"/>
  <c r="N5" i="8"/>
  <c r="M5" i="8"/>
  <c r="L5" i="8"/>
  <c r="K5" i="8"/>
  <c r="J5" i="8"/>
  <c r="I5" i="8"/>
  <c r="H5" i="8"/>
  <c r="G5" i="8"/>
  <c r="F5" i="8"/>
  <c r="E5" i="8"/>
  <c r="D5" i="8"/>
  <c r="B5" i="8"/>
  <c r="AM9" i="8"/>
  <c r="AM11" i="8"/>
  <c r="AM7" i="8"/>
  <c r="AM8" i="8"/>
  <c r="AM10" i="8"/>
  <c r="AI11" i="4"/>
  <c r="AJ11" i="4"/>
  <c r="AK11" i="4"/>
  <c r="AL11" i="4"/>
  <c r="AL7" i="4"/>
  <c r="AL8" i="4"/>
  <c r="AL9" i="4"/>
  <c r="AL10" i="4"/>
  <c r="AK7" i="4"/>
  <c r="AK8" i="4"/>
  <c r="AK9" i="4"/>
  <c r="AK10" i="4"/>
  <c r="AJ7" i="4"/>
  <c r="AJ8" i="4"/>
  <c r="AJ9" i="4"/>
  <c r="AJ10" i="4"/>
  <c r="B12" i="6"/>
  <c r="C12" i="6"/>
  <c r="D12" i="6"/>
  <c r="G12" i="6"/>
  <c r="H12" i="6"/>
  <c r="K12" i="6"/>
  <c r="L12" i="6"/>
  <c r="P12" i="6"/>
  <c r="Q12" i="6"/>
  <c r="T12" i="6"/>
  <c r="U12" i="6"/>
  <c r="A1" i="6"/>
  <c r="AM12" i="8"/>
  <c r="AM11" i="4"/>
  <c r="AI7" i="4"/>
  <c r="AI8" i="4"/>
  <c r="AI9" i="4"/>
  <c r="AI10" i="4"/>
  <c r="E12" i="4"/>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D12" i="4"/>
  <c r="AK16" i="6"/>
  <c r="AJ16" i="6"/>
  <c r="AI16" i="6"/>
  <c r="AH16" i="6"/>
  <c r="S6" i="5"/>
  <c r="K6" i="6"/>
  <c r="B6" i="6"/>
  <c r="B10" i="6"/>
  <c r="AE10" i="6"/>
  <c r="W10" i="6"/>
  <c r="K10" i="6"/>
  <c r="AE8" i="6"/>
  <c r="W8" i="6"/>
  <c r="K8" i="6"/>
  <c r="B8" i="6"/>
  <c r="C9" i="4"/>
  <c r="AK28" i="6"/>
  <c r="AJ28" i="6"/>
  <c r="AI28" i="6"/>
  <c r="AH28" i="6"/>
  <c r="AI22" i="6"/>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B5" i="4"/>
  <c r="AE6" i="6"/>
  <c r="W6" i="6"/>
  <c r="S4" i="6"/>
  <c r="P4" i="6"/>
  <c r="AH40" i="6"/>
  <c r="AI40" i="6"/>
  <c r="AJ40" i="6"/>
  <c r="AK40" i="6"/>
  <c r="AM7" i="4"/>
  <c r="AM10" i="4"/>
  <c r="S8" i="5"/>
  <c r="S4" i="5"/>
  <c r="S5" i="5"/>
  <c r="S7" i="5"/>
  <c r="C7" i="4"/>
  <c r="C11" i="4"/>
  <c r="C10" i="4"/>
  <c r="C8" i="4"/>
  <c r="D4" i="6"/>
  <c r="I1" i="6"/>
  <c r="AM9" i="4"/>
  <c r="AM8" i="4"/>
  <c r="AI12" i="4"/>
  <c r="AK12" i="4"/>
  <c r="AL12" i="4"/>
  <c r="AJ12" i="4"/>
  <c r="AM12" i="4"/>
</calcChain>
</file>

<file path=xl/sharedStrings.xml><?xml version="1.0" encoding="utf-8"?>
<sst xmlns="http://schemas.openxmlformats.org/spreadsheetml/2006/main" count="784" uniqueCount="132">
  <si>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</si>
  <si>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</si>
  <si>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</si>
  <si>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</si>
  <si>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</si>
  <si>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</si>
  <si>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</si>
  <si>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</si>
  <si>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</si>
  <si>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</si>
  <si>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</si>
  <si>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</si>
  <si>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</si>
  <si>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</si>
  <si>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</si>
  <si>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</si>
  <si>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</si>
  <si>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</si>
  <si>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</si>
  <si>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</si>
  <si>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</si>
  <si>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</si>
  <si>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</si>
  <si>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</si>
  <si>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</si>
  <si>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</si>
  <si>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</si>
  <si>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</si>
  <si>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</si>
  <si>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</si>
  <si>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</si>
  <si>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</si>
  <si>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Student First Name</t>
  </si>
  <si>
    <t>Student Last Name</t>
  </si>
  <si>
    <t>Student ID</t>
  </si>
  <si>
    <t>Student</t>
  </si>
  <si>
    <t>Student Name</t>
  </si>
  <si>
    <t>T</t>
  </si>
  <si>
    <t>U</t>
  </si>
  <si>
    <t>E</t>
  </si>
  <si>
    <t>Days Absent</t>
  </si>
  <si>
    <t>Totals</t>
  </si>
  <si>
    <t>Gender</t>
  </si>
  <si>
    <t>Birth Date</t>
  </si>
  <si>
    <t>School</t>
  </si>
  <si>
    <t>Grade</t>
  </si>
  <si>
    <t>Teacher</t>
  </si>
  <si>
    <t>Room</t>
  </si>
  <si>
    <t>Relationship</t>
  </si>
  <si>
    <t>Work Number</t>
  </si>
  <si>
    <t>Home Number</t>
  </si>
  <si>
    <t>Emergency Contact</t>
  </si>
  <si>
    <t>M</t>
  </si>
  <si>
    <t>Emergency Contact Relationship</t>
  </si>
  <si>
    <t>Emergency Contact Work Number</t>
  </si>
  <si>
    <t>Emergency Contact Home Number</t>
  </si>
  <si>
    <t>Student Full Name</t>
  </si>
  <si>
    <t>Grandfather</t>
  </si>
  <si>
    <t>Attendance Totals</t>
  </si>
  <si>
    <t>August</t>
  </si>
  <si>
    <t>September</t>
  </si>
  <si>
    <t>October</t>
  </si>
  <si>
    <t>November</t>
  </si>
  <si>
    <t>December</t>
  </si>
  <si>
    <t>January</t>
  </si>
  <si>
    <t>February</t>
  </si>
  <si>
    <t>March</t>
  </si>
  <si>
    <t>April</t>
  </si>
  <si>
    <t>May</t>
  </si>
  <si>
    <t>June</t>
  </si>
  <si>
    <t>July</t>
  </si>
  <si>
    <t>N</t>
  </si>
  <si>
    <t>School Year Start:</t>
  </si>
  <si>
    <t>Father</t>
  </si>
  <si>
    <t>Parent or Guardian 1</t>
  </si>
  <si>
    <t>Parent/Guardian 1 Relationship</t>
  </si>
  <si>
    <t>Parent/Guardian 1 Home Number</t>
  </si>
  <si>
    <t>Parent/Guardian 2 Relationship</t>
  </si>
  <si>
    <t>Parent/Guardian 2 Work Number</t>
  </si>
  <si>
    <t>Parent/Guardian 2 Home Number</t>
  </si>
  <si>
    <t>Parent/Guardian 2</t>
  </si>
  <si>
    <t>Name of Parent or Guardian 1</t>
  </si>
  <si>
    <t>Name of Parent or Guardian 2</t>
  </si>
  <si>
    <t>Tardy</t>
  </si>
  <si>
    <t>Excused</t>
  </si>
  <si>
    <t>Unexcused</t>
  </si>
  <si>
    <t>Present</t>
  </si>
  <si>
    <t>No School</t>
  </si>
  <si>
    <t>Attendance</t>
  </si>
  <si>
    <t>STUDENT ATTENDANCE RECORD</t>
  </si>
  <si>
    <t>David</t>
  </si>
  <si>
    <t>Alexander</t>
  </si>
  <si>
    <t>S001</t>
  </si>
  <si>
    <t>Michelle</t>
  </si>
  <si>
    <t>Michael Alexander</t>
  </si>
  <si>
    <t>S002</t>
  </si>
  <si>
    <t>S003</t>
  </si>
  <si>
    <t>S004</t>
  </si>
  <si>
    <t>S005</t>
  </si>
  <si>
    <t xml:space="preserve">School of Fine Art </t>
  </si>
  <si>
    <t>Luca Argentiero</t>
  </si>
  <si>
    <t>Reed Koch</t>
  </si>
  <si>
    <t xml:space="preserve">● </t>
  </si>
  <si>
    <t>1.</t>
  </si>
  <si>
    <t>2.</t>
  </si>
  <si>
    <t>3.</t>
  </si>
  <si>
    <t>After your students have been entered on the Student List sheet you can begin tracking their attendance for the school year using these steps:</t>
  </si>
  <si>
    <t>WHERE DO I START?</t>
  </si>
  <si>
    <t>I'VE ADDED MY STUDENTS, WHAT DO I DO NEXT?</t>
  </si>
  <si>
    <t>HOW DO I ADD MORE STUDENTS TO A MONTHLY ATTENDANCE RECORD?</t>
  </si>
  <si>
    <t>CAN I VIEW A STUDENT'S ATTENDANCE FOR THE ENTIRE SCHOOL YEAR?</t>
  </si>
  <si>
    <t>There are a few steps you need to take before you can begin tracking student attendance:</t>
  </si>
  <si>
    <t xml:space="preserve">COLOR KEY </t>
  </si>
  <si>
    <t>If the table does not have a Total row, start typing below the table and it will automatically expand when you press the Enter or Tab key.</t>
  </si>
  <si>
    <t>Place your cell pointer in the last cell above the Total row, such as the Days Absent cell for the last student, and then press the Tab key.</t>
  </si>
  <si>
    <t>In the bottom right corner of the table, place your mouse on the table sizing handle and drag down to increase the number of available table rows.</t>
  </si>
  <si>
    <t>Then enter their attendance record for each day of the month using the attendance types provided in the Color Key. Student attendance is automatically  calculated by attendance type for each student in the Totals column. Total absences for each day are automatically calculated at the bottom of the table in the Total row.</t>
  </si>
  <si>
    <t>The monthly attendance record sheets and the Student List are Excel tables. To add new rows to any Excel table, do one of the following:</t>
  </si>
  <si>
    <t>Parent/Guardian 1 Work Number</t>
  </si>
  <si>
    <t xml:space="preserve"> </t>
  </si>
  <si>
    <t>Total days absent</t>
  </si>
  <si>
    <t>STUDENT LIST</t>
  </si>
  <si>
    <t>HOW TO USE THIS TEMPLATE</t>
  </si>
  <si>
    <t>Customize a document theme.</t>
  </si>
  <si>
    <r>
      <t xml:space="preserve">To add a student to an attendance record, click in a cell below the </t>
    </r>
    <r>
      <rPr>
        <b/>
        <sz val="10"/>
        <color theme="1"/>
        <rFont val="Century Gothic"/>
        <family val="2"/>
        <scheme val="minor"/>
      </rPr>
      <t>Student ID</t>
    </r>
    <r>
      <rPr>
        <sz val="10"/>
        <color theme="1"/>
        <rFont val="Century Gothic"/>
        <family val="2"/>
        <scheme val="minor"/>
      </rPr>
      <t xml:space="preserve"> column and select a ID from the list. The student's name will automatically display after an ID is selected. </t>
    </r>
  </si>
  <si>
    <r>
      <t xml:space="preserve">The last sheet in this workbook, Student Attendance Report, tracks  year to date attendance. To view a report for a specific student, click in the cell below </t>
    </r>
    <r>
      <rPr>
        <b/>
        <sz val="10"/>
        <color theme="1"/>
        <rFont val="Century Gothic"/>
        <family val="2"/>
        <scheme val="minor"/>
      </rPr>
      <t>Student ID</t>
    </r>
    <r>
      <rPr>
        <sz val="10"/>
        <color theme="1"/>
        <rFont val="Century Gothic"/>
        <family val="2"/>
        <scheme val="minor"/>
      </rPr>
      <t xml:space="preserve"> and then select an ID from the drop down list. Information you previously entered on the Student List sheet for the selected student will automatically display. Note that the first time you use the Student Attendance Report, you need to enter School, Grade, Teacher, and Room. These pieces of information will not change if you select another student. </t>
    </r>
  </si>
  <si>
    <r>
      <rPr>
        <b/>
        <sz val="10"/>
        <color theme="4" tint="-0.499984740745262"/>
        <rFont val="Century Gothic"/>
        <family val="2"/>
        <scheme val="minor"/>
      </rPr>
      <t>Change the school calendar year:</t>
    </r>
    <r>
      <rPr>
        <sz val="10"/>
        <color theme="4" tint="-0.499984740745262"/>
        <rFont val="Century Gothic"/>
        <family val="2"/>
        <scheme val="minor"/>
      </rPr>
      <t xml:space="preserve"> </t>
    </r>
    <r>
      <rPr>
        <sz val="10"/>
        <color theme="1"/>
        <rFont val="Century Gothic"/>
        <family val="2"/>
        <scheme val="minor"/>
      </rPr>
      <t xml:space="preserve">On the </t>
    </r>
    <r>
      <rPr>
        <b/>
        <sz val="10"/>
        <color theme="1"/>
        <rFont val="Century Gothic"/>
        <family val="2"/>
        <scheme val="minor"/>
      </rPr>
      <t>August</t>
    </r>
    <r>
      <rPr>
        <sz val="10"/>
        <color theme="1"/>
        <rFont val="Century Gothic"/>
        <family val="2"/>
        <scheme val="minor"/>
      </rPr>
      <t xml:space="preserve"> sheet for attendance, click the spinner control at the top right edge of the header to update the school calendar year. This change will update the header on all monthly attendance records throughout this workbook. (Note that the spinner button will not print.)</t>
    </r>
  </si>
  <si>
    <r>
      <rPr>
        <b/>
        <sz val="10"/>
        <color theme="1"/>
        <rFont val="Century Gothic"/>
        <family val="2"/>
        <scheme val="minor"/>
      </rPr>
      <t xml:space="preserve">Tip: </t>
    </r>
    <r>
      <rPr>
        <sz val="10"/>
        <color theme="1"/>
        <rFont val="Century Gothic"/>
        <family val="2"/>
        <scheme val="minor"/>
      </rPr>
      <t xml:space="preserve">Save data entry steps! After your students are added for one month, select the entered Student IDs, copy them, and then paste them in the </t>
    </r>
    <r>
      <rPr>
        <b/>
        <sz val="10"/>
        <color theme="1"/>
        <rFont val="Century Gothic"/>
        <family val="2"/>
        <scheme val="minor"/>
      </rPr>
      <t>Student ID</t>
    </r>
    <r>
      <rPr>
        <sz val="10"/>
        <color theme="1"/>
        <rFont val="Century Gothic"/>
        <family val="2"/>
        <scheme val="minor"/>
      </rPr>
      <t xml:space="preserve"> column for the remaning months. </t>
    </r>
  </si>
  <si>
    <r>
      <rPr>
        <b/>
        <sz val="10"/>
        <color theme="1"/>
        <rFont val="Century Gothic"/>
        <family val="2"/>
        <scheme val="minor"/>
      </rPr>
      <t>Tip:</t>
    </r>
    <r>
      <rPr>
        <sz val="10"/>
        <color theme="1"/>
        <rFont val="Century Gothic"/>
        <family val="2"/>
        <scheme val="minor"/>
      </rPr>
      <t xml:space="preserve"> Create a custom theme color set to match your school colors! To do so, on the </t>
    </r>
    <r>
      <rPr>
        <b/>
        <sz val="10"/>
        <color theme="1"/>
        <rFont val="Century Gothic"/>
        <family val="2"/>
        <scheme val="minor"/>
      </rPr>
      <t>Page Layout</t>
    </r>
    <r>
      <rPr>
        <sz val="10"/>
        <color theme="1"/>
        <rFont val="Century Gothic"/>
        <family val="2"/>
        <scheme val="minor"/>
      </rPr>
      <t xml:space="preserve"> tab, in the </t>
    </r>
    <r>
      <rPr>
        <b/>
        <sz val="10"/>
        <color theme="1"/>
        <rFont val="Century Gothic"/>
        <family val="2"/>
        <scheme val="minor"/>
      </rPr>
      <t>Themes</t>
    </r>
    <r>
      <rPr>
        <sz val="10"/>
        <color theme="1"/>
        <rFont val="Century Gothic"/>
        <family val="2"/>
        <scheme val="minor"/>
      </rPr>
      <t xml:space="preserve"> group, click </t>
    </r>
    <r>
      <rPr>
        <b/>
        <sz val="10"/>
        <color theme="1"/>
        <rFont val="Century Gothic"/>
        <family val="2"/>
        <scheme val="minor"/>
      </rPr>
      <t>Colors</t>
    </r>
    <r>
      <rPr>
        <sz val="10"/>
        <color theme="1"/>
        <rFont val="Century Gothic"/>
        <family val="2"/>
        <scheme val="minor"/>
      </rPr>
      <t xml:space="preserve"> and then, near the bottom of the color gallery, click </t>
    </r>
    <r>
      <rPr>
        <b/>
        <sz val="10"/>
        <color theme="1"/>
        <rFont val="Century Gothic"/>
        <family val="2"/>
        <scheme val="minor"/>
      </rPr>
      <t>Create New Theme Colors</t>
    </r>
    <r>
      <rPr>
        <sz val="10"/>
        <color theme="1"/>
        <rFont val="Century Gothic"/>
        <family val="2"/>
        <scheme val="minor"/>
      </rPr>
      <t xml:space="preserve">. For more how to create a custom color set, view the following Help topic: </t>
    </r>
  </si>
  <si>
    <r>
      <rPr>
        <b/>
        <sz val="10"/>
        <color theme="4" tint="-0.499984740745262"/>
        <rFont val="Century Gothic"/>
        <family val="2"/>
        <scheme val="minor"/>
      </rPr>
      <t>Add your students</t>
    </r>
    <r>
      <rPr>
        <b/>
        <sz val="10"/>
        <color theme="1"/>
        <rFont val="Century Gothic"/>
        <family val="2"/>
        <scheme val="minor"/>
      </rPr>
      <t>:</t>
    </r>
    <r>
      <rPr>
        <sz val="10"/>
        <color theme="1"/>
        <rFont val="Century Gothic"/>
        <family val="2"/>
        <scheme val="minor"/>
      </rPr>
      <t xml:space="preserve"> On the </t>
    </r>
    <r>
      <rPr>
        <b/>
        <sz val="10"/>
        <color theme="1"/>
        <rFont val="Century Gothic"/>
        <family val="2"/>
        <scheme val="minor"/>
      </rPr>
      <t>Student List</t>
    </r>
    <r>
      <rPr>
        <sz val="10"/>
        <color theme="1"/>
        <rFont val="Century Gothic"/>
        <family val="2"/>
        <scheme val="minor"/>
      </rPr>
      <t xml:space="preserve"> sheet, enter each student's information, such as guardian names and contact data. The Student ID is an important entry as it provides a unique identifier for each student and is utilized throughout the workbook for the various Student ID drop down lists to facilitate data entry. The information entered on the Student List is used on other sheets as well, such as the Student Attendance Report and the monthly attendance records.</t>
    </r>
  </si>
  <si>
    <r>
      <rPr>
        <b/>
        <i/>
        <sz val="10"/>
        <color theme="4" tint="-0.499984740745262"/>
        <rFont val="Century Gothic"/>
        <family val="2"/>
        <scheme val="minor"/>
      </rPr>
      <t>(Optional)</t>
    </r>
    <r>
      <rPr>
        <b/>
        <sz val="10"/>
        <color theme="4" tint="-0.499984740745262"/>
        <rFont val="Century Gothic"/>
        <family val="2"/>
        <scheme val="minor"/>
      </rPr>
      <t xml:space="preserve"> Modify the colors throughout the workbook:</t>
    </r>
    <r>
      <rPr>
        <b/>
        <sz val="10"/>
        <color theme="1"/>
        <rFont val="Century Gothic"/>
        <family val="2"/>
        <scheme val="minor"/>
      </rPr>
      <t xml:space="preserve"> </t>
    </r>
    <r>
      <rPr>
        <sz val="10"/>
        <color theme="1"/>
        <rFont val="Century Gothic"/>
        <family val="2"/>
        <scheme val="minor"/>
      </rPr>
      <t xml:space="preserve"> First navigate to the last sheet, </t>
    </r>
    <r>
      <rPr>
        <b/>
        <sz val="10"/>
        <color theme="1"/>
        <rFont val="Century Gothic"/>
        <family val="2"/>
        <scheme val="minor"/>
      </rPr>
      <t>Student Attendance Report,</t>
    </r>
    <r>
      <rPr>
        <sz val="10"/>
        <color theme="1"/>
        <rFont val="Century Gothic"/>
        <family val="2"/>
        <scheme val="minor"/>
      </rPr>
      <t xml:space="preserve"> and on the </t>
    </r>
    <r>
      <rPr>
        <b/>
        <sz val="10"/>
        <color theme="1"/>
        <rFont val="Century Gothic"/>
        <family val="2"/>
        <scheme val="minor"/>
      </rPr>
      <t>Review</t>
    </r>
    <r>
      <rPr>
        <sz val="10"/>
        <color theme="1"/>
        <rFont val="Century Gothic"/>
        <family val="2"/>
        <scheme val="minor"/>
      </rPr>
      <t xml:space="preserve"> tab, in the </t>
    </r>
    <r>
      <rPr>
        <b/>
        <sz val="10"/>
        <color theme="1"/>
        <rFont val="Century Gothic"/>
        <family val="2"/>
        <scheme val="minor"/>
      </rPr>
      <t>Changes</t>
    </r>
    <r>
      <rPr>
        <sz val="10"/>
        <color theme="1"/>
        <rFont val="Century Gothic"/>
        <family val="2"/>
        <scheme val="minor"/>
      </rPr>
      <t xml:space="preserve"> group, click </t>
    </r>
    <r>
      <rPr>
        <b/>
        <sz val="10"/>
        <color theme="1"/>
        <rFont val="Century Gothic"/>
        <family val="2"/>
        <scheme val="minor"/>
      </rPr>
      <t>Unprotect Sheet</t>
    </r>
    <r>
      <rPr>
        <sz val="10"/>
        <color theme="1"/>
        <rFont val="Century Gothic"/>
        <family val="2"/>
        <scheme val="minor"/>
      </rPr>
      <t xml:space="preserve">. Then, on the </t>
    </r>
    <r>
      <rPr>
        <b/>
        <sz val="10"/>
        <color theme="1"/>
        <rFont val="Century Gothic"/>
        <family val="2"/>
        <scheme val="minor"/>
      </rPr>
      <t>Page Layout</t>
    </r>
    <r>
      <rPr>
        <sz val="10"/>
        <color theme="1"/>
        <rFont val="Century Gothic"/>
        <family val="2"/>
        <scheme val="minor"/>
      </rPr>
      <t xml:space="preserve"> tab, in the </t>
    </r>
    <r>
      <rPr>
        <b/>
        <sz val="10"/>
        <color theme="1"/>
        <rFont val="Century Gothic"/>
        <family val="2"/>
        <scheme val="minor"/>
      </rPr>
      <t>Themes</t>
    </r>
    <r>
      <rPr>
        <sz val="10"/>
        <color theme="1"/>
        <rFont val="Century Gothic"/>
        <family val="2"/>
        <scheme val="minor"/>
      </rPr>
      <t xml:space="preserve"> group, click </t>
    </r>
    <r>
      <rPr>
        <b/>
        <sz val="10"/>
        <color theme="1"/>
        <rFont val="Century Gothic"/>
        <family val="2"/>
        <scheme val="minor"/>
      </rPr>
      <t>Colors</t>
    </r>
    <r>
      <rPr>
        <sz val="10"/>
        <color theme="1"/>
        <rFont val="Century Gothic"/>
        <family val="2"/>
        <scheme val="minor"/>
      </rPr>
      <t xml:space="preserve"> and select another theme color set from the color gallery. After you've made your color changes, and any other theme changes, return to the </t>
    </r>
    <r>
      <rPr>
        <b/>
        <sz val="10"/>
        <color theme="1"/>
        <rFont val="Century Gothic"/>
        <family val="2"/>
        <scheme val="minor"/>
      </rPr>
      <t>Student Attendance Report</t>
    </r>
    <r>
      <rPr>
        <sz val="10"/>
        <color theme="1"/>
        <rFont val="Century Gothic"/>
        <family val="2"/>
        <scheme val="minor"/>
      </rPr>
      <t xml:space="preserve"> sheet and on the </t>
    </r>
    <r>
      <rPr>
        <b/>
        <sz val="10"/>
        <color theme="1"/>
        <rFont val="Century Gothic"/>
        <family val="2"/>
        <scheme val="minor"/>
      </rPr>
      <t>Review</t>
    </r>
    <r>
      <rPr>
        <sz val="10"/>
        <color theme="1"/>
        <rFont val="Century Gothic"/>
        <family val="2"/>
        <scheme val="minor"/>
      </rPr>
      <t xml:space="preserve"> tab, in the </t>
    </r>
    <r>
      <rPr>
        <b/>
        <sz val="10"/>
        <color theme="1"/>
        <rFont val="Century Gothic"/>
        <family val="2"/>
        <scheme val="minor"/>
      </rPr>
      <t>Changes</t>
    </r>
    <r>
      <rPr>
        <sz val="10"/>
        <color theme="1"/>
        <rFont val="Century Gothic"/>
        <family val="2"/>
        <scheme val="minor"/>
      </rPr>
      <t xml:space="preserve"> group, click</t>
    </r>
    <r>
      <rPr>
        <b/>
        <sz val="10"/>
        <color theme="1"/>
        <rFont val="Century Gothic"/>
        <family val="2"/>
        <scheme val="minor"/>
      </rPr>
      <t xml:space="preserve"> Protect Sheet</t>
    </r>
    <r>
      <rPr>
        <sz val="10"/>
        <color theme="1"/>
        <rFont val="Century Gothic"/>
        <family val="2"/>
        <scheme val="minor"/>
      </rPr>
      <t xml:space="preserve">, and then click </t>
    </r>
    <r>
      <rPr>
        <b/>
        <sz val="10"/>
        <color theme="1"/>
        <rFont val="Century Gothic"/>
        <family val="2"/>
        <scheme val="minor"/>
      </rPr>
      <t>OK.</t>
    </r>
  </si>
  <si>
    <r>
      <t xml:space="preserve">Right-click in the table and on the pop up menu, point to </t>
    </r>
    <r>
      <rPr>
        <b/>
        <sz val="10"/>
        <color theme="1"/>
        <rFont val="Century Gothic"/>
        <family val="2"/>
        <scheme val="minor"/>
      </rPr>
      <t>Insert,</t>
    </r>
    <r>
      <rPr>
        <sz val="10"/>
        <color theme="1"/>
        <rFont val="Century Gothic"/>
        <family val="2"/>
        <scheme val="minor"/>
      </rPr>
      <t xml:space="preserve"> and then click </t>
    </r>
    <r>
      <rPr>
        <b/>
        <sz val="10"/>
        <color theme="1"/>
        <rFont val="Century Gothic"/>
        <family val="2"/>
        <scheme val="minor"/>
      </rPr>
      <t>Table Rows Above</t>
    </r>
    <r>
      <rPr>
        <sz val="10"/>
        <color theme="1"/>
        <rFont val="Century Gothic"/>
        <family val="2"/>
        <scheme val="minor"/>
      </rPr>
      <t xml:space="preserve"> or </t>
    </r>
    <r>
      <rPr>
        <b/>
        <sz val="10"/>
        <color theme="1"/>
        <rFont val="Century Gothic"/>
        <family val="2"/>
        <scheme val="minor"/>
      </rPr>
      <t>Table Rows Below</t>
    </r>
    <r>
      <rPr>
        <sz val="10"/>
        <color theme="1"/>
        <rFont val="Century Gothic"/>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</si>
</sst>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lt;=9999999]###\-####;\(###\)\ ###\-####"/>
    <numFmt numFmtId="167" formatCode="0;0;;@"/>
    <numFmt numFmtId="168" formatCode="_)@"/>
  </numFmts>
  <fonts count="45"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47">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NumberFormat="1"/>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4" fontId="0" fillId="0" borderId="0" xfId="0" applyNumberFormat="1" applyFont="1" applyFill="1" applyBorder="1" applyAlignment="1">
      <alignment vertical="center" wrapText="1"/>
    </xf>
    <xf numFmtId="167" fontId="0" fillId="0" borderId="0" xfId="0" applyNumberFormat="1"/>
    <xf numFmtId="167" fontId="0" fillId="0" borderId="0" xfId="0" applyNumberFormat="1" applyFont="1" applyFill="1" applyBorder="1" applyAlignment="1">
      <alignment vertical="center" wrapText="1"/>
    </xf>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0" fontId="18" fillId="10" borderId="0" xfId="0" applyFont="1" applyFill="1" applyBorder="1" applyAlignment="1">
      <alignment horizontal="center"/>
    </xf>
    <xf numFmtId="164" fontId="0" fillId="0" borderId="0" xfId="0" applyNumberFormat="1" applyAlignment="1">
      <alignment horizontal="center"/>
    </xf>
    <xf numFmtId="0" fontId="18" fillId="9" borderId="0" xfId="0" applyFont="1" applyFill="1" applyBorder="1" applyAlignment="1">
      <alignment horizontal="center"/>
    </xf>
    <xf numFmtId="0" fontId="18" fillId="8" borderId="0" xfId="0" applyFont="1" applyFill="1" applyBorder="1" applyAlignment="1">
      <alignment horizontal="center"/>
    </xf>
    <xf numFmtId="49" fontId="19" fillId="7" borderId="0" xfId="1" applyNumberFormat="1" applyFill="1" applyBorder="1" applyAlignment="1">
      <alignment vertic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Fill="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5" fillId="11" borderId="0"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0"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0" borderId="0" xfId="0" applyFont="1" applyBorder="1" applyAlignment="1">
      <alignment vertical="center"/>
    </xf>
    <xf numFmtId="0" fontId="26" fillId="7" borderId="0" xfId="0" applyFont="1" applyFill="1" applyBorder="1" applyAlignment="1">
      <alignment horizontal="right" vertical="center"/>
    </xf>
    <xf numFmtId="0" fontId="26" fillId="7" borderId="0" xfId="0" applyFont="1" applyFill="1" applyBorder="1" applyAlignment="1">
      <alignment horizontal="center" vertical="center"/>
    </xf>
    <xf numFmtId="0" fontId="25" fillId="0" borderId="0" xfId="0" applyFont="1" applyAlignment="1">
      <alignment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9"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0" fillId="8" borderId="0" xfId="0" applyFont="1" applyFill="1" applyBorder="1" applyAlignment="1">
      <alignment horizontal="center"/>
    </xf>
    <xf numFmtId="0" fontId="0" fillId="9" borderId="0" xfId="0" applyFont="1" applyFill="1" applyBorder="1" applyAlignment="1">
      <alignment horizontal="center"/>
    </xf>
    <xf numFmtId="0" fontId="0" fillId="10" borderId="0" xfId="0" applyFont="1" applyFill="1" applyBorder="1" applyAlignment="1">
      <alignment horizontal="center"/>
    </xf>
    <xf numFmtId="0" fontId="18" fillId="11" borderId="0" xfId="0" applyFont="1" applyFill="1" applyBorder="1" applyAlignment="1">
      <alignment horizontal="center"/>
    </xf>
    <xf numFmtId="0" fontId="28" fillId="0" borderId="0" xfId="0" applyFont="1"/>
    <xf numFmtId="0" fontId="28" fillId="11"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8" fillId="0" borderId="0" xfId="0" applyFont="1" applyProtection="1"/>
    <xf numFmtId="0" fontId="28" fillId="10" borderId="0" xfId="0" applyFont="1" applyFill="1" applyAlignment="1">
      <alignment horizontal="center"/>
    </xf>
    <xf numFmtId="0" fontId="28"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9" fillId="7" borderId="0" xfId="1" applyNumberFormat="1" applyFont="1" applyFill="1" applyBorder="1" applyAlignment="1" applyProtection="1">
      <alignment vertical="center"/>
    </xf>
    <xf numFmtId="0" fontId="30" fillId="7" borderId="0" xfId="1" applyFont="1" applyFill="1" applyBorder="1" applyAlignment="1" applyProtection="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9" fillId="7" borderId="0" xfId="1" applyFill="1" applyAlignment="1">
      <alignment horizontal="left" vertical="center" indent="1"/>
    </xf>
    <xf numFmtId="0" fontId="31"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49" fontId="0" fillId="11" borderId="0" xfId="0" applyNumberFormat="1" applyFont="1" applyFill="1" applyBorder="1" applyAlignment="1">
      <alignment horizontal="center"/>
    </xf>
    <xf numFmtId="0" fontId="0" fillId="0" borderId="0" xfId="0" quotePrefix="1" applyAlignment="1">
      <alignment vertical="top"/>
    </xf>
    <xf numFmtId="0" fontId="0" fillId="0" borderId="0" xfId="0" applyFill="1"/>
    <xf numFmtId="0" fontId="0" fillId="0" borderId="0" xfId="0" applyAlignment="1">
      <alignment vertical="center" wrapText="1"/>
    </xf>
    <xf numFmtId="0" fontId="31" fillId="0" borderId="0" xfId="11" applyAlignment="1">
      <alignment vertical="top"/>
    </xf>
    <xf numFmtId="0" fontId="19" fillId="7" borderId="0" xfId="1" applyFont="1" applyFill="1" applyAlignment="1">
      <alignment horizontal="left" vertical="center" indent="1"/>
    </xf>
    <xf numFmtId="0" fontId="0" fillId="0" borderId="0" xfId="0" applyAlignment="1">
      <alignment wrapText="1"/>
    </xf>
    <xf numFmtId="168" fontId="36" fillId="2" borderId="9" xfId="2" applyNumberFormat="1" applyFont="1" applyFill="1" applyBorder="1" applyAlignment="1" applyProtection="1">
      <alignment vertical="center"/>
    </xf>
    <xf numFmtId="168" fontId="36" fillId="2" borderId="10" xfId="2" applyNumberFormat="1" applyFont="1" applyFill="1" applyBorder="1" applyAlignment="1" applyProtection="1">
      <alignment vertical="center"/>
    </xf>
    <xf numFmtId="0" fontId="37" fillId="0" borderId="8" xfId="3" applyFont="1" applyBorder="1" applyAlignment="1" applyProtection="1">
      <alignment horizontal="center" vertical="center" wrapText="1"/>
      <protection locked="0"/>
    </xf>
    <xf numFmtId="0" fontId="39" fillId="2" borderId="12" xfId="0" applyFont="1" applyFill="1" applyBorder="1" applyAlignment="1" applyProtection="1">
      <alignment horizontal="center" vertical="center"/>
    </xf>
    <xf numFmtId="164" fontId="41" fillId="0" borderId="8" xfId="8" applyNumberFormat="1" applyFont="1" applyFill="1" applyBorder="1" applyProtection="1">
      <alignment horizontal="center" vertical="center"/>
    </xf>
    <xf numFmtId="164" fontId="39" fillId="2" borderId="8" xfId="0" applyNumberFormat="1" applyFont="1" applyFill="1" applyBorder="1" applyAlignment="1" applyProtection="1">
      <alignment horizontal="center" vertical="center"/>
    </xf>
    <xf numFmtId="0" fontId="42" fillId="0" borderId="0" xfId="0" applyFont="1" applyProtection="1"/>
    <xf numFmtId="0" fontId="37" fillId="0" borderId="0" xfId="0" applyFont="1" applyFill="1" applyBorder="1" applyProtection="1"/>
    <xf numFmtId="164" fontId="40" fillId="0" borderId="8" xfId="7" applyNumberFormat="1" applyFont="1" applyFill="1" applyBorder="1" applyProtection="1">
      <alignment horizontal="center" vertical="center"/>
    </xf>
    <xf numFmtId="0" fontId="36" fillId="2" borderId="8" xfId="2" applyNumberFormat="1" applyFont="1" applyFill="1" applyBorder="1" applyAlignment="1" applyProtection="1">
      <alignment vertical="center"/>
    </xf>
    <xf numFmtId="0" fontId="44" fillId="11" borderId="13" xfId="0" applyFont="1" applyFill="1" applyBorder="1" applyAlignment="1" applyProtection="1">
      <alignment horizontal="center" vertical="center"/>
    </xf>
    <xf numFmtId="0" fontId="44" fillId="9" borderId="14" xfId="0" applyFont="1" applyFill="1" applyBorder="1" applyAlignment="1" applyProtection="1">
      <alignment horizontal="center" vertical="center"/>
    </xf>
    <xf numFmtId="0" fontId="44" fillId="8" borderId="14" xfId="0" applyFont="1" applyFill="1" applyBorder="1" applyAlignment="1" applyProtection="1">
      <alignment horizontal="center" vertical="center"/>
    </xf>
    <xf numFmtId="0" fontId="44" fillId="10" borderId="14" xfId="0" applyFont="1" applyFill="1" applyBorder="1" applyAlignment="1" applyProtection="1">
      <alignment horizontal="center" vertical="center"/>
    </xf>
    <xf numFmtId="0" fontId="19" fillId="7" borderId="0" xfId="1" applyNumberFormat="1" applyFill="1" applyBorder="1" applyAlignment="1">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wrapText="1"/>
    </xf>
    <xf numFmtId="0" fontId="33"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4" fontId="40" fillId="0" borderId="15" xfId="7" applyNumberFormat="1" applyFont="1" applyFill="1" applyBorder="1" applyProtection="1">
      <alignment horizontal="center" vertical="center"/>
    </xf>
    <xf numFmtId="164" fontId="40" fillId="0" borderId="12" xfId="7" applyNumberFormat="1" applyFont="1" applyFill="1" applyBorder="1" applyProtection="1">
      <alignment horizontal="center" vertical="center"/>
    </xf>
    <xf numFmtId="0" fontId="43" fillId="0" borderId="0" xfId="0" applyFont="1" applyFill="1" applyBorder="1" applyAlignment="1" applyProtection="1">
      <alignment horizontal="right" vertical="center"/>
    </xf>
    <xf numFmtId="0" fontId="38" fillId="2" borderId="8" xfId="6" applyFont="1" applyFill="1" applyBorder="1" applyProtection="1">
      <alignment horizontal="center" vertical="center"/>
    </xf>
    <xf numFmtId="164" fontId="40" fillId="0" borderId="8" xfId="7" applyNumberFormat="1" applyFont="1" applyFill="1" applyBorder="1" applyProtection="1">
      <alignment horizontal="center" vertical="center"/>
    </xf>
    <xf numFmtId="0" fontId="38" fillId="2" borderId="15" xfId="6" applyFont="1" applyFill="1" applyBorder="1" applyProtection="1">
      <alignment horizontal="center" vertical="center"/>
    </xf>
    <xf numFmtId="0" fontId="38" fillId="2" borderId="12" xfId="6" applyFont="1" applyFill="1" applyBorder="1" applyProtection="1">
      <alignment horizontal="center" vertical="center"/>
    </xf>
    <xf numFmtId="0" fontId="12" fillId="7" borderId="0" xfId="0" applyFont="1" applyFill="1" applyBorder="1" applyAlignment="1" applyProtection="1">
      <alignment horizontal="center" vertical="center"/>
    </xf>
    <xf numFmtId="0" fontId="37" fillId="0" borderId="8" xfId="3" applyFont="1" applyBorder="1" applyAlignment="1" applyProtection="1">
      <alignment horizontal="left" vertical="center" wrapText="1" indent="1"/>
      <protection locked="0"/>
    </xf>
    <xf numFmtId="167" fontId="37" fillId="0" borderId="8" xfId="3" applyNumberFormat="1" applyFont="1" applyBorder="1" applyAlignment="1" applyProtection="1">
      <alignment horizontal="left" vertical="center" wrapText="1" indent="1"/>
    </xf>
    <xf numFmtId="168" fontId="36" fillId="2" borderId="8" xfId="2" applyNumberFormat="1" applyFont="1" applyFill="1" applyBorder="1" applyAlignment="1" applyProtection="1">
      <alignment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36" fillId="2" borderId="8" xfId="2" applyNumberFormat="1" applyFont="1" applyFill="1" applyBorder="1" applyProtection="1">
      <alignment vertical="center"/>
    </xf>
    <xf numFmtId="0" fontId="37" fillId="0" borderId="8" xfId="3" applyFont="1" applyBorder="1" applyAlignment="1" applyProtection="1">
      <alignment horizontal="center" vertical="center" wrapText="1"/>
      <protection locked="0"/>
    </xf>
    <xf numFmtId="168" fontId="36" fillId="2" borderId="8" xfId="2" applyNumberFormat="1" applyFont="1" applyFill="1" applyBorder="1" applyProtection="1">
      <alignment vertical="center"/>
    </xf>
    <xf numFmtId="166" fontId="37" fillId="0" borderId="8" xfId="5" applyFont="1" applyBorder="1" applyAlignment="1" applyProtection="1">
      <alignment horizontal="left" vertical="center" wrapText="1" indent="1"/>
    </xf>
    <xf numFmtId="167" fontId="37" fillId="0" borderId="8" xfId="3" applyNumberFormat="1" applyFont="1" applyBorder="1" applyAlignment="1" applyProtection="1">
      <alignment horizontal="center" vertical="center" wrapText="1"/>
    </xf>
    <xf numFmtId="14" fontId="37" fillId="0" borderId="8" xfId="4" applyNumberFormat="1" applyFont="1" applyBorder="1" applyAlignment="1" applyProtection="1">
      <alignment horizontal="center" vertical="center" wrapText="1"/>
    </xf>
  </cellXfs>
  <cellStyles count="13">
    <cellStyle name="Attendance Totals" xfId="7"/>
    <cellStyle name="Birthdate" xfId="4"/>
    <cellStyle name="Heading 1" xfId="10" builtinId="16" customBuiltin="1"/>
    <cellStyle name="Heading 2" xfId="11" builtinId="17" customBuiltin="1"/>
    <cellStyle name="Hyperlink" xfId="12" builtinId="8"/>
    <cellStyle name="Month" xfId="6"/>
    <cellStyle name="Normal" xfId="0" builtinId="0" customBuiltin="1"/>
    <cellStyle name="Phone Number" xfId="5"/>
    <cellStyle name="Student Information" xfId="2"/>
    <cellStyle name="Student Information - user entered" xfId="3"/>
    <cellStyle name="Title" xfId="1" builtinId="15" customBuiltin="1"/>
    <cellStyle name="Weekday" xfId="8"/>
    <cellStyle name="Weekend" xfId="9"/>
  </cellStyles>
  <dxfs count="985">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Student List" defaultPivotStyle="PivotStyleLight16">
    <tableStyle name="Employee Absence Table" pivot="0" count="5">
      <tableStyleElement type="wholeTable" dxfId="984"/>
      <tableStyleElement type="headerRow" dxfId="983"/>
      <tableStyleElement type="totalRow" dxfId="982"/>
      <tableStyleElement type="firstRowStripe" dxfId="981"/>
      <tableStyleElement type="secondRowStripe" dxfId="980"/>
    </tableStyle>
    <tableStyle name="Student List" pivot="0" count="5">
      <tableStyleElement type="wholeTable" dxfId="979"/>
      <tableStyleElement type="headerRow" dxfId="978"/>
      <tableStyleElement type="totalRow" dxfId="977"/>
      <tableStyleElement type="firstRowStripe" dxfId="976"/>
      <tableStyleElement type="secondRowStripe" dxfId="975"/>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Spin" dx="16" fmlaLink="CalendarYear"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101600</xdr:rowOff>
        </xdr:from>
        <xdr:to>
          <xdr:col>39</xdr:col>
          <xdr:colOff>215900</xdr:colOff>
          <xdr:row>0</xdr:row>
          <xdr:rowOff>419100</xdr:rowOff>
        </xdr:to>
        <xdr:sp macro="" textlink="">
          <xdr:nvSpPr>
            <xdr:cNvPr id="2049" name="Spinner 1" hidden="1">
              <a:extLst>
                <a:ext uri="{63B3BB69-23CF-44E3-9099-C40C66FF867C}">
                  <a14:compatExt spid="_x0000_s2049"/>
                </a:ext>
              </a:extLst>
            </xdr:cNvPr>
            <xdr:cNvSpPr/>
          </xdr:nvSpPr>
          <xdr:spPr>
            <a:xfrm>
              <a:off x="0" y="0"/>
              <a:ext cx="0" cy="0"/>
            </a:xfrm>
            <a:prstGeom prst="rect">
              <a:avLst/>
            </a:prstGeom>
          </xdr:spPr>
        </xdr:sp>
        <xdr:clientData fPrintsWithSheet="0"/>
      </xdr:twoCellAnchor>
    </mc:Choice>
    <mc:Fallback/>
  </mc:AlternateContent>
</xdr:wsDr>
</file>

<file path=xl/tables/table1.xml><?xml version="1.0" encoding="utf-8"?>
<table xmlns="http://schemas.openxmlformats.org/spreadsheetml/2006/main" id="1" name="StudentList" displayName="StudentList" ref="B3:S8" totalsRowShown="0" headerRowDxfId="974">
  <autoFilter ref="B3:S8"/>
  <tableColumns count="18">
    <tableColumn id="1" name="Student ID" dataDxfId="973"/>
    <tableColumn id="2" name="Student First Name"/>
    <tableColumn id="3" name="Student Last Name" dataDxfId="972"/>
    <tableColumn id="5" name="Gender" dataDxfId="971"/>
    <tableColumn id="6" name="Birth Date" dataDxfId="970"/>
    <tableColumn id="7" name="Parent or Guardian 1" dataDxfId="969"/>
    <tableColumn id="10" name="Parent/Guardian 1 Relationship" dataDxfId="968"/>
    <tableColumn id="9" name="Parent/Guardian 1 Work Number" dataDxfId="967"/>
    <tableColumn id="8" name="Parent/Guardian 1 Home Number" dataDxfId="966"/>
    <tableColumn id="18" name="Parent/Guardian 2" dataDxfId="965"/>
    <tableColumn id="15" name="Parent/Guardian 2 Relationship" dataDxfId="964"/>
    <tableColumn id="16" name="Parent/Guardian 2 Work Number" dataDxfId="963"/>
    <tableColumn id="17" name="Parent/Guardian 2 Home Number" dataDxfId="962"/>
    <tableColumn id="13" name="Emergency Contact" dataDxfId="961"/>
    <tableColumn id="12" name="Emergency Contact Relationship" dataDxfId="960"/>
    <tableColumn id="11" name="Emergency Contact Work Number" dataDxfId="959"/>
    <tableColumn id="14" name="Emergency Contact Home Number" dataDxfId="958"/>
    <tableColumn id="4" name="Student Full Name" dataDxfId="957">
      <calculatedColumnFormula>StudentList[[#This Row],[Student First Name]]&amp;" " &amp;StudentList[[#This Row],[Student Last Name]]</calculatedColumnFormula>
    </tableColumn>
  </tableColumns>
  <tableStyleInfo name="Student List" showFirstColumn="0" showLastColumn="0" showRowStripes="1" showColumnStripes="0"/>
  <extLst>
    <ext xmlns:x14="http://schemas.microsoft.com/office/spreadsheetml/2009/9/main" uri="{504A1905-F514-4f6f-8877-14C23A59335A}">
      <x14:table altText="Student List" altTextSummary="Provides student names, guardian contact information, and emergency contact information for each student."/>
    </ext>
  </extLst>
</table>
</file>

<file path=xl/tables/table10.xml><?xml version="1.0" encoding="utf-8"?>
<table xmlns="http://schemas.openxmlformats.org/spreadsheetml/2006/main" id="9" name="AprilAttendance" displayName="AprilAttendance" ref="B6:AM12" totalsRowCount="1" headerRowDxfId="328">
  <tableColumns count="38">
    <tableColumn id="38" name="Student ID" dataDxfId="327" totalsRowDxfId="326"/>
    <tableColumn id="1" name="Student Name" totalsRowLabel="Total days absent" dataDxfId="325" totalsRowDxfId="324">
      <calculatedColumnFormula>IFERROR(VLOOKUP(AprilAttendance[[#This Row],[Student ID]],StudentList[],18,FALSE),"")</calculatedColumnFormula>
    </tableColumn>
    <tableColumn id="2" name="1" totalsRowFunction="custom" dataDxfId="323" totalsRowDxfId="322">
      <totalsRowFormula>COUNTIF(AprilAttendance[1],"U")+COUNTIF(AprilAttendance[1],"E")</totalsRowFormula>
    </tableColumn>
    <tableColumn id="3" name="2" totalsRowFunction="custom" dataDxfId="321" totalsRowDxfId="320">
      <totalsRowFormula>COUNTIF(AprilAttendance[2],"U")+COUNTIF(AprilAttendance[2],"E")</totalsRowFormula>
    </tableColumn>
    <tableColumn id="4" name="3" totalsRowFunction="custom" dataDxfId="319" totalsRowDxfId="318">
      <totalsRowFormula>COUNTIF(AprilAttendance[3],"U")+COUNTIF(AprilAttendance[3],"E")</totalsRowFormula>
    </tableColumn>
    <tableColumn id="5" name="4" totalsRowFunction="custom" dataDxfId="317" totalsRowDxfId="316">
      <totalsRowFormula>COUNTIF(AprilAttendance[4],"U")+COUNTIF(AprilAttendance[4],"E")</totalsRowFormula>
    </tableColumn>
    <tableColumn id="6" name="5" totalsRowFunction="custom" dataDxfId="315" totalsRowDxfId="314">
      <totalsRowFormula>COUNTIF(AprilAttendance[5],"U")+COUNTIF(AprilAttendance[5],"E")</totalsRowFormula>
    </tableColumn>
    <tableColumn id="7" name="6" totalsRowFunction="custom" dataDxfId="313" totalsRowDxfId="312">
      <totalsRowFormula>COUNTIF(AprilAttendance[6],"U")+COUNTIF(AprilAttendance[6],"E")</totalsRowFormula>
    </tableColumn>
    <tableColumn id="8" name="7" totalsRowFunction="custom" dataDxfId="311" totalsRowDxfId="310">
      <totalsRowFormula>COUNTIF(AprilAttendance[7],"U")+COUNTIF(AprilAttendance[7],"E")</totalsRowFormula>
    </tableColumn>
    <tableColumn id="9" name="8" totalsRowFunction="custom" dataDxfId="309" totalsRowDxfId="308">
      <totalsRowFormula>COUNTIF(AprilAttendance[8],"U")+COUNTIF(AprilAttendance[8],"E")</totalsRowFormula>
    </tableColumn>
    <tableColumn id="10" name="9" totalsRowFunction="custom" dataDxfId="307" totalsRowDxfId="306">
      <totalsRowFormula>COUNTIF(AprilAttendance[9],"U")+COUNTIF(AprilAttendance[9],"E")</totalsRowFormula>
    </tableColumn>
    <tableColumn id="11" name="10" totalsRowFunction="custom" dataDxfId="305" totalsRowDxfId="304">
      <totalsRowFormula>COUNTIF(AprilAttendance[10],"U")+COUNTIF(AprilAttendance[10],"E")</totalsRowFormula>
    </tableColumn>
    <tableColumn id="12" name="11" totalsRowFunction="custom" dataDxfId="303" totalsRowDxfId="302">
      <totalsRowFormula>COUNTIF(AprilAttendance[11],"U")+COUNTIF(AprilAttendance[11],"E")</totalsRowFormula>
    </tableColumn>
    <tableColumn id="13" name="12" totalsRowFunction="custom" dataDxfId="301" totalsRowDxfId="300">
      <totalsRowFormula>COUNTIF(AprilAttendance[12],"U")+COUNTIF(AprilAttendance[12],"E")</totalsRowFormula>
    </tableColumn>
    <tableColumn id="14" name="13" totalsRowFunction="custom" dataDxfId="299" totalsRowDxfId="298">
      <totalsRowFormula>COUNTIF(AprilAttendance[13],"U")+COUNTIF(AprilAttendance[13],"E")</totalsRowFormula>
    </tableColumn>
    <tableColumn id="15" name="14" totalsRowFunction="custom" dataDxfId="297" totalsRowDxfId="296">
      <totalsRowFormula>COUNTIF(AprilAttendance[14],"U")+COUNTIF(AprilAttendance[14],"E")</totalsRowFormula>
    </tableColumn>
    <tableColumn id="16" name="15" totalsRowFunction="custom" dataDxfId="295" totalsRowDxfId="294">
      <totalsRowFormula>COUNTIF(AprilAttendance[15],"U")+COUNTIF(AprilAttendance[15],"E")</totalsRowFormula>
    </tableColumn>
    <tableColumn id="17" name="16" totalsRowFunction="custom" dataDxfId="293" totalsRowDxfId="292">
      <totalsRowFormula>COUNTIF(AprilAttendance[16],"U")+COUNTIF(AprilAttendance[16],"E")</totalsRowFormula>
    </tableColumn>
    <tableColumn id="18" name="17" totalsRowFunction="custom" dataDxfId="291" totalsRowDxfId="290">
      <totalsRowFormula>COUNTIF(AprilAttendance[17],"U")+COUNTIF(AprilAttendance[17],"E")</totalsRowFormula>
    </tableColumn>
    <tableColumn id="19" name="18" totalsRowFunction="custom" dataDxfId="289" totalsRowDxfId="288">
      <totalsRowFormula>COUNTIF(AprilAttendance[18],"U")+COUNTIF(AprilAttendance[18],"E")</totalsRowFormula>
    </tableColumn>
    <tableColumn id="20" name="19" totalsRowFunction="custom" dataDxfId="287" totalsRowDxfId="286">
      <totalsRowFormula>COUNTIF(AprilAttendance[19],"U")+COUNTIF(AprilAttendance[19],"E")</totalsRowFormula>
    </tableColumn>
    <tableColumn id="21" name="20" totalsRowFunction="custom" dataDxfId="285" totalsRowDxfId="284">
      <totalsRowFormula>COUNTIF(AprilAttendance[20],"U")+COUNTIF(AprilAttendance[20],"E")</totalsRowFormula>
    </tableColumn>
    <tableColumn id="22" name="21" totalsRowFunction="custom" dataDxfId="283" totalsRowDxfId="282">
      <totalsRowFormula>COUNTIF(AprilAttendance[21],"U")+COUNTIF(AprilAttendance[21],"E")</totalsRowFormula>
    </tableColumn>
    <tableColumn id="23" name="22" totalsRowFunction="custom" dataDxfId="281" totalsRowDxfId="280">
      <totalsRowFormula>COUNTIF(AprilAttendance[22],"U")+COUNTIF(AprilAttendance[22],"E")</totalsRowFormula>
    </tableColumn>
    <tableColumn id="24" name="23" totalsRowFunction="custom" dataDxfId="279" totalsRowDxfId="278">
      <totalsRowFormula>COUNTIF(AprilAttendance[23],"U")+COUNTIF(AprilAttendance[23],"E")</totalsRowFormula>
    </tableColumn>
    <tableColumn id="25" name="24" totalsRowFunction="custom" dataDxfId="277" totalsRowDxfId="276">
      <totalsRowFormula>COUNTIF(AprilAttendance[24],"U")+COUNTIF(AprilAttendance[24],"E")</totalsRowFormula>
    </tableColumn>
    <tableColumn id="26" name="25" totalsRowFunction="custom" dataDxfId="275" totalsRowDxfId="274">
      <totalsRowFormula>COUNTIF(AprilAttendance[25],"U")+COUNTIF(AprilAttendance[25],"E")</totalsRowFormula>
    </tableColumn>
    <tableColumn id="27" name="26" totalsRowFunction="custom" dataDxfId="273" totalsRowDxfId="272">
      <totalsRowFormula>COUNTIF(AprilAttendance[26],"U")+COUNTIF(AprilAttendance[26],"E")</totalsRowFormula>
    </tableColumn>
    <tableColumn id="28" name="27" totalsRowFunction="custom" dataDxfId="271" totalsRowDxfId="270">
      <totalsRowFormula>COUNTIF(AprilAttendance[27],"U")+COUNTIF(AprilAttendance[27],"E")</totalsRowFormula>
    </tableColumn>
    <tableColumn id="29" name="28" totalsRowFunction="custom" dataDxfId="269" totalsRowDxfId="268">
      <totalsRowFormula>COUNTIF(AprilAttendance[28],"U")+COUNTIF(AprilAttendance[28],"E")</totalsRowFormula>
    </tableColumn>
    <tableColumn id="30" name="29" totalsRowFunction="custom" dataDxfId="267" totalsRowDxfId="266">
      <totalsRowFormula>COUNTIF(AprilAttendance[29],"U")+COUNTIF(AprilAttendance[29],"E")</totalsRowFormula>
    </tableColumn>
    <tableColumn id="31" name="30" dataDxfId="265" totalsRowDxfId="264"/>
    <tableColumn id="32" name=" " dataDxfId="263" totalsRowDxfId="262"/>
    <tableColumn id="35" name="T" totalsRowFunction="sum" dataDxfId="261" totalsRowDxfId="260">
      <calculatedColumnFormula>COUNTIF(AprilAttendance[[#This Row],[1]:[ ]],Code1)</calculatedColumnFormula>
    </tableColumn>
    <tableColumn id="34" name="E" totalsRowFunction="sum" dataDxfId="259" totalsRowDxfId="258">
      <calculatedColumnFormula>COUNTIF(AprilAttendance[[#This Row],[1]:[ ]],Code2)</calculatedColumnFormula>
    </tableColumn>
    <tableColumn id="37" name="U" totalsRowFunction="sum" dataDxfId="257" totalsRowDxfId="256">
      <calculatedColumnFormula>COUNTIF(AprilAttendance[[#This Row],[1]:[ ]],Code3)</calculatedColumnFormula>
    </tableColumn>
    <tableColumn id="36" name="P" totalsRowFunction="sum" dataDxfId="255" totalsRowDxfId="254">
      <calculatedColumnFormula>COUNTIF(AprilAttendance[[#This Row],[1]:[ ]],Code4)</calculatedColumnFormula>
    </tableColumn>
    <tableColumn id="33" name="Days Absent" totalsRowFunction="sum" dataDxfId="253" totalsRowDxfId="252">
      <calculatedColumnFormula>SUM(AprilAttendance[[#This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April."/>
    </ext>
  </extLst>
</table>
</file>

<file path=xl/tables/table11.xml><?xml version="1.0" encoding="utf-8"?>
<table xmlns="http://schemas.openxmlformats.org/spreadsheetml/2006/main" id="11" name="MayAttendance" displayName="MayAttendance" ref="B6:AM12" totalsRowCount="1" headerRowDxfId="246">
  <tableColumns count="38">
    <tableColumn id="38" name="Student ID" dataDxfId="245" totalsRowDxfId="244"/>
    <tableColumn id="1" name="Student Name" totalsRowLabel="Total days absent" dataDxfId="243" totalsRowDxfId="242">
      <calculatedColumnFormula>IFERROR(VLOOKUP(MayAttendance[[#This Row],[Student ID]],StudentList[],18,FALSE),"")</calculatedColumnFormula>
    </tableColumn>
    <tableColumn id="2" name="1" totalsRowFunction="custom" dataDxfId="241" totalsRowDxfId="240">
      <totalsRowFormula>COUNTIF(MayAttendance[1],"U")+COUNTIF(MayAttendance[1],"E")</totalsRowFormula>
    </tableColumn>
    <tableColumn id="3" name="2" totalsRowFunction="custom" dataDxfId="239" totalsRowDxfId="238">
      <totalsRowFormula>COUNTIF(MayAttendance[2],"U")+COUNTIF(MayAttendance[2],"E")</totalsRowFormula>
    </tableColumn>
    <tableColumn id="4" name="3" totalsRowFunction="custom" dataDxfId="237" totalsRowDxfId="236">
      <totalsRowFormula>COUNTIF(MayAttendance[3],"U")+COUNTIF(MayAttendance[3],"E")</totalsRowFormula>
    </tableColumn>
    <tableColumn id="5" name="4" totalsRowFunction="custom" dataDxfId="235" totalsRowDxfId="234">
      <totalsRowFormula>COUNTIF(MayAttendance[4],"U")+COUNTIF(MayAttendance[4],"E")</totalsRowFormula>
    </tableColumn>
    <tableColumn id="6" name="5" totalsRowFunction="custom" dataDxfId="233" totalsRowDxfId="232">
      <totalsRowFormula>COUNTIF(MayAttendance[5],"U")+COUNTIF(MayAttendance[5],"E")</totalsRowFormula>
    </tableColumn>
    <tableColumn id="7" name="6" totalsRowFunction="custom" dataDxfId="231" totalsRowDxfId="230">
      <totalsRowFormula>COUNTIF(MayAttendance[6],"U")+COUNTIF(MayAttendance[6],"E")</totalsRowFormula>
    </tableColumn>
    <tableColumn id="8" name="7" totalsRowFunction="custom" dataDxfId="229" totalsRowDxfId="228">
      <totalsRowFormula>COUNTIF(MayAttendance[7],"U")+COUNTIF(MayAttendance[7],"E")</totalsRowFormula>
    </tableColumn>
    <tableColumn id="9" name="8" totalsRowFunction="custom" dataDxfId="227" totalsRowDxfId="226">
      <totalsRowFormula>COUNTIF(MayAttendance[8],"U")+COUNTIF(MayAttendance[8],"E")</totalsRowFormula>
    </tableColumn>
    <tableColumn id="10" name="9" totalsRowFunction="custom" dataDxfId="225" totalsRowDxfId="224">
      <totalsRowFormula>COUNTIF(MayAttendance[9],"U")+COUNTIF(MayAttendance[9],"E")</totalsRowFormula>
    </tableColumn>
    <tableColumn id="11" name="10" totalsRowFunction="custom" dataDxfId="223" totalsRowDxfId="222">
      <totalsRowFormula>COUNTIF(MayAttendance[10],"U")+COUNTIF(MayAttendance[10],"E")</totalsRowFormula>
    </tableColumn>
    <tableColumn id="12" name="11" totalsRowFunction="custom" dataDxfId="221" totalsRowDxfId="220">
      <totalsRowFormula>COUNTIF(MayAttendance[11],"U")+COUNTIF(MayAttendance[11],"E")</totalsRowFormula>
    </tableColumn>
    <tableColumn id="13" name="12" totalsRowFunction="custom" dataDxfId="219" totalsRowDxfId="218">
      <totalsRowFormula>COUNTIF(MayAttendance[12],"U")+COUNTIF(MayAttendance[12],"E")</totalsRowFormula>
    </tableColumn>
    <tableColumn id="14" name="13" totalsRowFunction="custom" dataDxfId="217" totalsRowDxfId="216">
      <totalsRowFormula>COUNTIF(MayAttendance[13],"U")+COUNTIF(MayAttendance[13],"E")</totalsRowFormula>
    </tableColumn>
    <tableColumn id="15" name="14" totalsRowFunction="custom" dataDxfId="215" totalsRowDxfId="214">
      <totalsRowFormula>COUNTIF(MayAttendance[14],"U")+COUNTIF(MayAttendance[14],"E")</totalsRowFormula>
    </tableColumn>
    <tableColumn id="16" name="15" totalsRowFunction="custom" dataDxfId="213" totalsRowDxfId="212">
      <totalsRowFormula>COUNTIF(MayAttendance[15],"U")+COUNTIF(MayAttendance[15],"E")</totalsRowFormula>
    </tableColumn>
    <tableColumn id="17" name="16" totalsRowFunction="custom" dataDxfId="211" totalsRowDxfId="210">
      <totalsRowFormula>COUNTIF(MayAttendance[16],"U")+COUNTIF(MayAttendance[16],"E")</totalsRowFormula>
    </tableColumn>
    <tableColumn id="18" name="17" totalsRowFunction="custom" dataDxfId="209" totalsRowDxfId="208">
      <totalsRowFormula>COUNTIF(MayAttendance[17],"U")+COUNTIF(MayAttendance[17],"E")</totalsRowFormula>
    </tableColumn>
    <tableColumn id="19" name="18" totalsRowFunction="custom" dataDxfId="207" totalsRowDxfId="206">
      <totalsRowFormula>COUNTIF(MayAttendance[18],"U")+COUNTIF(MayAttendance[18],"E")</totalsRowFormula>
    </tableColumn>
    <tableColumn id="20" name="19" totalsRowFunction="custom" dataDxfId="205" totalsRowDxfId="204">
      <totalsRowFormula>COUNTIF(MayAttendance[19],"U")+COUNTIF(MayAttendance[19],"E")</totalsRowFormula>
    </tableColumn>
    <tableColumn id="21" name="20" totalsRowFunction="custom" dataDxfId="203" totalsRowDxfId="202">
      <totalsRowFormula>COUNTIF(MayAttendance[20],"U")+COUNTIF(MayAttendance[20],"E")</totalsRowFormula>
    </tableColumn>
    <tableColumn id="22" name="21" totalsRowFunction="custom" dataDxfId="201" totalsRowDxfId="200">
      <totalsRowFormula>COUNTIF(MayAttendance[21],"U")+COUNTIF(MayAttendance[21],"E")</totalsRowFormula>
    </tableColumn>
    <tableColumn id="23" name="22" totalsRowFunction="custom" dataDxfId="199" totalsRowDxfId="198">
      <totalsRowFormula>COUNTIF(MayAttendance[22],"U")+COUNTIF(MayAttendance[22],"E")</totalsRowFormula>
    </tableColumn>
    <tableColumn id="24" name="23" totalsRowFunction="custom" dataDxfId="197" totalsRowDxfId="196">
      <totalsRowFormula>COUNTIF(MayAttendance[23],"U")+COUNTIF(MayAttendance[23],"E")</totalsRowFormula>
    </tableColumn>
    <tableColumn id="25" name="24" totalsRowFunction="custom" dataDxfId="195" totalsRowDxfId="194">
      <totalsRowFormula>COUNTIF(MayAttendance[24],"U")+COUNTIF(MayAttendance[24],"E")</totalsRowFormula>
    </tableColumn>
    <tableColumn id="26" name="25" totalsRowFunction="custom" dataDxfId="193" totalsRowDxfId="192">
      <totalsRowFormula>COUNTIF(MayAttendance[25],"U")+COUNTIF(MayAttendance[25],"E")</totalsRowFormula>
    </tableColumn>
    <tableColumn id="27" name="26" totalsRowFunction="custom" dataDxfId="191" totalsRowDxfId="190">
      <totalsRowFormula>COUNTIF(MayAttendance[26],"U")+COUNTIF(MayAttendance[26],"E")</totalsRowFormula>
    </tableColumn>
    <tableColumn id="28" name="27" totalsRowFunction="custom" dataDxfId="189" totalsRowDxfId="188">
      <totalsRowFormula>COUNTIF(MayAttendance[27],"U")+COUNTIF(MayAttendance[27],"E")</totalsRowFormula>
    </tableColumn>
    <tableColumn id="29" name="28" totalsRowFunction="custom" dataDxfId="187" totalsRowDxfId="186">
      <totalsRowFormula>COUNTIF(MayAttendance[28],"U")+COUNTIF(MayAttendance[28],"E")</totalsRowFormula>
    </tableColumn>
    <tableColumn id="30" name="29" totalsRowFunction="custom" dataDxfId="185" totalsRowDxfId="184">
      <totalsRowFormula>COUNTIF(MayAttendance[29],"U")+COUNTIF(MayAttendance[29],"E")</totalsRowFormula>
    </tableColumn>
    <tableColumn id="31" name="30" dataDxfId="183" totalsRowDxfId="182"/>
    <tableColumn id="32" name="31" dataDxfId="181" totalsRowDxfId="180"/>
    <tableColumn id="35" name="T" totalsRowFunction="sum" dataDxfId="179" totalsRowDxfId="178">
      <calculatedColumnFormula>COUNTIF(MayAttendance[[#This Row],[1]:[31]],Code1)</calculatedColumnFormula>
    </tableColumn>
    <tableColumn id="34" name="E" totalsRowFunction="sum" dataDxfId="177" totalsRowDxfId="176">
      <calculatedColumnFormula>COUNTIF(MayAttendance[[#This Row],[1]:[31]],Code2)</calculatedColumnFormula>
    </tableColumn>
    <tableColumn id="37" name="U" totalsRowFunction="sum" dataDxfId="175" totalsRowDxfId="174">
      <calculatedColumnFormula>COUNTIF(MayAttendance[[#This Row],[1]:[31]],Code3)</calculatedColumnFormula>
    </tableColumn>
    <tableColumn id="36" name="P" totalsRowFunction="sum" dataDxfId="173" totalsRowDxfId="172">
      <calculatedColumnFormula>COUNTIF(MayAttendance[[#This Row],[1]:[31]],Code4)</calculatedColumnFormula>
    </tableColumn>
    <tableColumn id="33" name="Days Absent" totalsRowFunction="sum" dataDxfId="171" totalsRowDxfId="170">
      <calculatedColumnFormula>SUM(MayAttendance[[#This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May."/>
    </ext>
  </extLst>
</table>
</file>

<file path=xl/tables/table12.xml><?xml version="1.0" encoding="utf-8"?>
<table xmlns="http://schemas.openxmlformats.org/spreadsheetml/2006/main" id="12" name="JuneAttendance" displayName="JuneAttendance" ref="B6:AM12" totalsRowCount="1" headerRowDxfId="164">
  <tableColumns count="38">
    <tableColumn id="38" name="Student ID" dataDxfId="163" totalsRowDxfId="162"/>
    <tableColumn id="1" name="Student Name" totalsRowLabel="Total days absent" dataDxfId="161" totalsRowDxfId="160">
      <calculatedColumnFormula>IFERROR(VLOOKUP(JuneAttendance[[#This Row],[Student ID]],StudentList[],18,FALSE),"")</calculatedColumnFormula>
    </tableColumn>
    <tableColumn id="2" name="1" totalsRowFunction="custom" dataDxfId="159" totalsRowDxfId="158">
      <totalsRowFormula>COUNTIF(JuneAttendance[1],"U")+COUNTIF(JuneAttendance[1],"E")</totalsRowFormula>
    </tableColumn>
    <tableColumn id="3" name="2" totalsRowFunction="custom" dataDxfId="157" totalsRowDxfId="156">
      <totalsRowFormula>COUNTIF(JuneAttendance[2],"U")+COUNTIF(JuneAttendance[2],"E")</totalsRowFormula>
    </tableColumn>
    <tableColumn id="4" name="3" totalsRowFunction="custom" dataDxfId="155" totalsRowDxfId="154">
      <totalsRowFormula>COUNTIF(JuneAttendance[3],"U")+COUNTIF(JuneAttendance[3],"E")</totalsRowFormula>
    </tableColumn>
    <tableColumn id="5" name="4" totalsRowFunction="custom" dataDxfId="153" totalsRowDxfId="152">
      <totalsRowFormula>COUNTIF(JuneAttendance[4],"U")+COUNTIF(JuneAttendance[4],"E")</totalsRowFormula>
    </tableColumn>
    <tableColumn id="6" name="5" totalsRowFunction="custom" dataDxfId="151" totalsRowDxfId="150">
      <totalsRowFormula>COUNTIF(JuneAttendance[5],"U")+COUNTIF(JuneAttendance[5],"E")</totalsRowFormula>
    </tableColumn>
    <tableColumn id="7" name="6" totalsRowFunction="custom" dataDxfId="149" totalsRowDxfId="148">
      <totalsRowFormula>COUNTIF(JuneAttendance[6],"U")+COUNTIF(JuneAttendance[6],"E")</totalsRowFormula>
    </tableColumn>
    <tableColumn id="8" name="7" totalsRowFunction="custom" dataDxfId="147" totalsRowDxfId="146">
      <totalsRowFormula>COUNTIF(JuneAttendance[7],"U")+COUNTIF(JuneAttendance[7],"E")</totalsRowFormula>
    </tableColumn>
    <tableColumn id="9" name="8" totalsRowFunction="custom" dataDxfId="145" totalsRowDxfId="144">
      <totalsRowFormula>COUNTIF(JuneAttendance[8],"U")+COUNTIF(JuneAttendance[8],"E")</totalsRowFormula>
    </tableColumn>
    <tableColumn id="10" name="9" totalsRowFunction="custom" dataDxfId="143" totalsRowDxfId="142">
      <totalsRowFormula>COUNTIF(JuneAttendance[9],"U")+COUNTIF(JuneAttendance[9],"E")</totalsRowFormula>
    </tableColumn>
    <tableColumn id="11" name="10" totalsRowFunction="custom" dataDxfId="141" totalsRowDxfId="140">
      <totalsRowFormula>COUNTIF(JuneAttendance[10],"U")+COUNTIF(JuneAttendance[10],"E")</totalsRowFormula>
    </tableColumn>
    <tableColumn id="12" name="11" totalsRowFunction="custom" dataDxfId="139" totalsRowDxfId="138">
      <totalsRowFormula>COUNTIF(JuneAttendance[11],"U")+COUNTIF(JuneAttendance[11],"E")</totalsRowFormula>
    </tableColumn>
    <tableColumn id="13" name="12" totalsRowFunction="custom" dataDxfId="137" totalsRowDxfId="136">
      <totalsRowFormula>COUNTIF(JuneAttendance[12],"U")+COUNTIF(JuneAttendance[12],"E")</totalsRowFormula>
    </tableColumn>
    <tableColumn id="14" name="13" totalsRowFunction="custom" dataDxfId="135" totalsRowDxfId="134">
      <totalsRowFormula>COUNTIF(JuneAttendance[13],"U")+COUNTIF(JuneAttendance[13],"E")</totalsRowFormula>
    </tableColumn>
    <tableColumn id="15" name="14" totalsRowFunction="custom" dataDxfId="133" totalsRowDxfId="132">
      <totalsRowFormula>COUNTIF(JuneAttendance[14],"U")+COUNTIF(JuneAttendance[14],"E")</totalsRowFormula>
    </tableColumn>
    <tableColumn id="16" name="15" totalsRowFunction="custom" dataDxfId="131" totalsRowDxfId="130">
      <totalsRowFormula>COUNTIF(JuneAttendance[15],"U")+COUNTIF(JuneAttendance[15],"E")</totalsRowFormula>
    </tableColumn>
    <tableColumn id="17" name="16" totalsRowFunction="custom" dataDxfId="129" totalsRowDxfId="128">
      <totalsRowFormula>COUNTIF(JuneAttendance[16],"U")+COUNTIF(JuneAttendance[16],"E")</totalsRowFormula>
    </tableColumn>
    <tableColumn id="18" name="17" totalsRowFunction="custom" dataDxfId="127" totalsRowDxfId="126">
      <totalsRowFormula>COUNTIF(JuneAttendance[17],"U")+COUNTIF(JuneAttendance[17],"E")</totalsRowFormula>
    </tableColumn>
    <tableColumn id="19" name="18" totalsRowFunction="custom" dataDxfId="125" totalsRowDxfId="124">
      <totalsRowFormula>COUNTIF(JuneAttendance[18],"U")+COUNTIF(JuneAttendance[18],"E")</totalsRowFormula>
    </tableColumn>
    <tableColumn id="20" name="19" totalsRowFunction="custom" dataDxfId="123" totalsRowDxfId="122">
      <totalsRowFormula>COUNTIF(JuneAttendance[19],"U")+COUNTIF(JuneAttendance[19],"E")</totalsRowFormula>
    </tableColumn>
    <tableColumn id="21" name="20" totalsRowFunction="custom" dataDxfId="121" totalsRowDxfId="120">
      <totalsRowFormula>COUNTIF(JuneAttendance[20],"U")+COUNTIF(JuneAttendance[20],"E")</totalsRowFormula>
    </tableColumn>
    <tableColumn id="22" name="21" totalsRowFunction="custom" dataDxfId="119" totalsRowDxfId="118">
      <totalsRowFormula>COUNTIF(JuneAttendance[21],"U")+COUNTIF(JuneAttendance[21],"E")</totalsRowFormula>
    </tableColumn>
    <tableColumn id="23" name="22" totalsRowFunction="custom" dataDxfId="117" totalsRowDxfId="116">
      <totalsRowFormula>COUNTIF(JuneAttendance[22],"U")+COUNTIF(JuneAttendance[22],"E")</totalsRowFormula>
    </tableColumn>
    <tableColumn id="24" name="23" totalsRowFunction="custom" dataDxfId="115" totalsRowDxfId="114">
      <totalsRowFormula>COUNTIF(JuneAttendance[23],"U")+COUNTIF(JuneAttendance[23],"E")</totalsRowFormula>
    </tableColumn>
    <tableColumn id="25" name="24" totalsRowFunction="custom" dataDxfId="113" totalsRowDxfId="112">
      <totalsRowFormula>COUNTIF(JuneAttendance[24],"U")+COUNTIF(JuneAttendance[24],"E")</totalsRowFormula>
    </tableColumn>
    <tableColumn id="26" name="25" totalsRowFunction="custom" dataDxfId="111" totalsRowDxfId="110">
      <totalsRowFormula>COUNTIF(JuneAttendance[25],"U")+COUNTIF(JuneAttendance[25],"E")</totalsRowFormula>
    </tableColumn>
    <tableColumn id="27" name="26" totalsRowFunction="custom" dataDxfId="109" totalsRowDxfId="108">
      <totalsRowFormula>COUNTIF(JuneAttendance[26],"U")+COUNTIF(JuneAttendance[26],"E")</totalsRowFormula>
    </tableColumn>
    <tableColumn id="28" name="27" totalsRowFunction="custom" dataDxfId="107" totalsRowDxfId="106">
      <totalsRowFormula>COUNTIF(JuneAttendance[27],"U")+COUNTIF(JuneAttendance[27],"E")</totalsRowFormula>
    </tableColumn>
    <tableColumn id="29" name="28" totalsRowFunction="custom" dataDxfId="105" totalsRowDxfId="104">
      <totalsRowFormula>COUNTIF(JuneAttendance[28],"U")+COUNTIF(JuneAttendance[28],"E")</totalsRowFormula>
    </tableColumn>
    <tableColumn id="30" name="29" totalsRowFunction="custom" dataDxfId="103" totalsRowDxfId="102">
      <totalsRowFormula>COUNTIF(JuneAttendance[29],"U")+COUNTIF(JuneAttendance[29],"E")</totalsRowFormula>
    </tableColumn>
    <tableColumn id="31" name="30" dataDxfId="101" totalsRowDxfId="100"/>
    <tableColumn id="32" name=" " dataDxfId="99" totalsRowDxfId="98"/>
    <tableColumn id="35" name="T" totalsRowFunction="sum" dataDxfId="97" totalsRowDxfId="96">
      <calculatedColumnFormula>COUNTIF(JuneAttendance[[#This Row],[1]:[ ]],Code1)</calculatedColumnFormula>
    </tableColumn>
    <tableColumn id="34" name="E" totalsRowFunction="sum" dataDxfId="95" totalsRowDxfId="94">
      <calculatedColumnFormula>COUNTIF(JuneAttendance[[#This Row],[1]:[ ]],Code2)</calculatedColumnFormula>
    </tableColumn>
    <tableColumn id="37" name="U" totalsRowFunction="sum" dataDxfId="93" totalsRowDxfId="92">
      <calculatedColumnFormula>COUNTIF(JuneAttendance[[#This Row],[1]:[ ]],Code3)</calculatedColumnFormula>
    </tableColumn>
    <tableColumn id="36" name="P" totalsRowFunction="sum" dataDxfId="91" totalsRowDxfId="90">
      <calculatedColumnFormula>COUNTIF(JuneAttendance[[#This Row],[1]:[ ]],Code4)</calculatedColumnFormula>
    </tableColumn>
    <tableColumn id="33" name="Days Absent" totalsRowFunction="sum" dataDxfId="89" totalsRowDxfId="88">
      <calculatedColumnFormula>SUM(JuneAttendance[[#This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une."/>
    </ext>
  </extLst>
</table>
</file>

<file path=xl/tables/table13.xml><?xml version="1.0" encoding="utf-8"?>
<table xmlns="http://schemas.openxmlformats.org/spreadsheetml/2006/main" id="13" name="JulyAttendance" displayName="JulyAttendance" ref="B6:AM12" totalsRowCount="1" headerRowDxfId="82">
  <tableColumns count="38">
    <tableColumn id="38" name="Student ID" dataDxfId="81" totalsRowDxfId="80"/>
    <tableColumn id="1" name="Student Name" totalsRowLabel="Total days absent" dataDxfId="79" totalsRowDxfId="78">
      <calculatedColumnFormula>IFERROR(VLOOKUP(JulyAttendance[[#This Row],[Student ID]],StudentList[],18,FALSE),"")</calculatedColumnFormula>
    </tableColumn>
    <tableColumn id="2" name="1" totalsRowFunction="custom" dataDxfId="77" totalsRowDxfId="76">
      <totalsRowFormula>COUNTIF(JulyAttendance[1],"U")+COUNTIF(JulyAttendance[1],"E")</totalsRowFormula>
    </tableColumn>
    <tableColumn id="3" name="2" totalsRowFunction="custom" dataDxfId="75" totalsRowDxfId="74">
      <totalsRowFormula>COUNTIF(JulyAttendance[2],"U")+COUNTIF(JulyAttendance[2],"E")</totalsRowFormula>
    </tableColumn>
    <tableColumn id="4" name="3" totalsRowFunction="custom" dataDxfId="73" totalsRowDxfId="72">
      <totalsRowFormula>COUNTIF(JulyAttendance[3],"U")+COUNTIF(JulyAttendance[3],"E")</totalsRowFormula>
    </tableColumn>
    <tableColumn id="5" name="4" totalsRowFunction="custom" dataDxfId="71" totalsRowDxfId="70">
      <totalsRowFormula>COUNTIF(JulyAttendance[4],"U")+COUNTIF(JulyAttendance[4],"E")</totalsRowFormula>
    </tableColumn>
    <tableColumn id="6" name="5" totalsRowFunction="custom" dataDxfId="69" totalsRowDxfId="68">
      <totalsRowFormula>COUNTIF(JulyAttendance[5],"U")+COUNTIF(JulyAttendance[5],"E")</totalsRowFormula>
    </tableColumn>
    <tableColumn id="7" name="6" totalsRowFunction="custom" dataDxfId="67" totalsRowDxfId="66">
      <totalsRowFormula>COUNTIF(JulyAttendance[6],"U")+COUNTIF(JulyAttendance[6],"E")</totalsRowFormula>
    </tableColumn>
    <tableColumn id="8" name="7" totalsRowFunction="custom" dataDxfId="65" totalsRowDxfId="64">
      <totalsRowFormula>COUNTIF(JulyAttendance[7],"U")+COUNTIF(JulyAttendance[7],"E")</totalsRowFormula>
    </tableColumn>
    <tableColumn id="9" name="8" totalsRowFunction="custom" dataDxfId="63" totalsRowDxfId="62">
      <totalsRowFormula>COUNTIF(JulyAttendance[8],"U")+COUNTIF(JulyAttendance[8],"E")</totalsRowFormula>
    </tableColumn>
    <tableColumn id="10" name="9" totalsRowFunction="custom" dataDxfId="61" totalsRowDxfId="60">
      <totalsRowFormula>COUNTIF(JulyAttendance[9],"U")+COUNTIF(JulyAttendance[9],"E")</totalsRowFormula>
    </tableColumn>
    <tableColumn id="11" name="10" totalsRowFunction="custom" dataDxfId="59" totalsRowDxfId="58">
      <totalsRowFormula>COUNTIF(JulyAttendance[10],"U")+COUNTIF(JulyAttendance[10],"E")</totalsRowFormula>
    </tableColumn>
    <tableColumn id="12" name="11" totalsRowFunction="custom" dataDxfId="57" totalsRowDxfId="56">
      <totalsRowFormula>COUNTIF(JulyAttendance[11],"U")+COUNTIF(JulyAttendance[11],"E")</totalsRowFormula>
    </tableColumn>
    <tableColumn id="13" name="12" totalsRowFunction="custom" dataDxfId="55" totalsRowDxfId="54">
      <totalsRowFormula>COUNTIF(JulyAttendance[12],"U")+COUNTIF(JulyAttendance[12],"E")</totalsRowFormula>
    </tableColumn>
    <tableColumn id="14" name="13" totalsRowFunction="custom" dataDxfId="53" totalsRowDxfId="52">
      <totalsRowFormula>COUNTIF(JulyAttendance[13],"U")+COUNTIF(JulyAttendance[13],"E")</totalsRowFormula>
    </tableColumn>
    <tableColumn id="15" name="14" totalsRowFunction="custom" dataDxfId="51" totalsRowDxfId="50">
      <totalsRowFormula>COUNTIF(JulyAttendance[14],"U")+COUNTIF(JulyAttendance[14],"E")</totalsRowFormula>
    </tableColumn>
    <tableColumn id="16" name="15" totalsRowFunction="custom" dataDxfId="49" totalsRowDxfId="48">
      <totalsRowFormula>COUNTIF(JulyAttendance[15],"U")+COUNTIF(JulyAttendance[15],"E")</totalsRowFormula>
    </tableColumn>
    <tableColumn id="17" name="16" totalsRowFunction="custom" dataDxfId="47" totalsRowDxfId="46">
      <totalsRowFormula>COUNTIF(JulyAttendance[16],"U")+COUNTIF(JulyAttendance[16],"E")</totalsRowFormula>
    </tableColumn>
    <tableColumn id="18" name="17" totalsRowFunction="custom" dataDxfId="45" totalsRowDxfId="44">
      <totalsRowFormula>COUNTIF(JulyAttendance[17],"U")+COUNTIF(JulyAttendance[17],"E")</totalsRowFormula>
    </tableColumn>
    <tableColumn id="19" name="18" totalsRowFunction="custom" dataDxfId="43" totalsRowDxfId="42">
      <totalsRowFormula>COUNTIF(JulyAttendance[18],"U")+COUNTIF(JulyAttendance[18],"E")</totalsRowFormula>
    </tableColumn>
    <tableColumn id="20" name="19" totalsRowFunction="custom" dataDxfId="41" totalsRowDxfId="40">
      <totalsRowFormula>COUNTIF(JulyAttendance[19],"U")+COUNTIF(JulyAttendance[19],"E")</totalsRowFormula>
    </tableColumn>
    <tableColumn id="21" name="20" totalsRowFunction="custom" dataDxfId="39" totalsRowDxfId="38">
      <totalsRowFormula>COUNTIF(JulyAttendance[20],"U")+COUNTIF(JulyAttendance[20],"E")</totalsRowFormula>
    </tableColumn>
    <tableColumn id="22" name="21" totalsRowFunction="custom" dataDxfId="37" totalsRowDxfId="36">
      <totalsRowFormula>COUNTIF(JulyAttendance[21],"U")+COUNTIF(JulyAttendance[21],"E")</totalsRowFormula>
    </tableColumn>
    <tableColumn id="23" name="22" totalsRowFunction="custom" dataDxfId="35" totalsRowDxfId="34">
      <totalsRowFormula>COUNTIF(JulyAttendance[22],"U")+COUNTIF(JulyAttendance[22],"E")</totalsRowFormula>
    </tableColumn>
    <tableColumn id="24" name="23" totalsRowFunction="custom" dataDxfId="33" totalsRowDxfId="32">
      <totalsRowFormula>COUNTIF(JulyAttendance[23],"U")+COUNTIF(JulyAttendance[23],"E")</totalsRowFormula>
    </tableColumn>
    <tableColumn id="25" name="24" totalsRowFunction="custom" dataDxfId="31" totalsRowDxfId="30">
      <totalsRowFormula>COUNTIF(JulyAttendance[24],"U")+COUNTIF(JulyAttendance[24],"E")</totalsRowFormula>
    </tableColumn>
    <tableColumn id="26" name="25" totalsRowFunction="custom" dataDxfId="29" totalsRowDxfId="28">
      <totalsRowFormula>COUNTIF(JulyAttendance[25],"U")+COUNTIF(JulyAttendance[25],"E")</totalsRowFormula>
    </tableColumn>
    <tableColumn id="27" name="26" totalsRowFunction="custom" dataDxfId="27" totalsRowDxfId="26">
      <totalsRowFormula>COUNTIF(JulyAttendance[26],"U")+COUNTIF(JulyAttendance[26],"E")</totalsRowFormula>
    </tableColumn>
    <tableColumn id="28" name="27" totalsRowFunction="custom" dataDxfId="25" totalsRowDxfId="24">
      <totalsRowFormula>COUNTIF(JulyAttendance[27],"U")+COUNTIF(JulyAttendance[27],"E")</totalsRowFormula>
    </tableColumn>
    <tableColumn id="29" name="28" totalsRowFunction="custom" dataDxfId="23" totalsRowDxfId="22">
      <totalsRowFormula>COUNTIF(JulyAttendance[28],"U")+COUNTIF(JulyAttendance[28],"E")</totalsRowFormula>
    </tableColumn>
    <tableColumn id="30" name="29" totalsRowFunction="custom" dataDxfId="21" totalsRowDxfId="20">
      <totalsRowFormula>COUNTIF(JulyAttendance[29],"U")+COUNTIF(JulyAttendance[29],"E")</totalsRowFormula>
    </tableColumn>
    <tableColumn id="31" name="30" dataDxfId="19" totalsRowDxfId="18"/>
    <tableColumn id="32" name="31" dataDxfId="17" totalsRowDxfId="16"/>
    <tableColumn id="35" name="T" totalsRowFunction="sum" dataDxfId="15" totalsRowDxfId="14">
      <calculatedColumnFormula>COUNTIF(JulyAttendance[[#This Row],[1]:[31]],Code1)</calculatedColumnFormula>
    </tableColumn>
    <tableColumn id="34" name="E" totalsRowFunction="sum" dataDxfId="13" totalsRowDxfId="12">
      <calculatedColumnFormula>COUNTIF(JulyAttendance[[#This Row],[1]:[31]],Code2)</calculatedColumnFormula>
    </tableColumn>
    <tableColumn id="37" name="U" totalsRowFunction="sum" dataDxfId="11" totalsRowDxfId="10">
      <calculatedColumnFormula>COUNTIF(JulyAttendance[[#This Row],[1]:[31]],Code3)</calculatedColumnFormula>
    </tableColumn>
    <tableColumn id="36" name="P" totalsRowFunction="sum" dataDxfId="9" totalsRowDxfId="8">
      <calculatedColumnFormula>COUNTIF(JulyAttendance[[#This Row],[1]:[31]],Code4)</calculatedColumnFormula>
    </tableColumn>
    <tableColumn id="33" name="Days Absent" totalsRowFunction="sum" dataDxfId="7" totalsRowDxfId="6">
      <calculatedColumnFormula>SUM(JulyAttendance[[#This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uly."/>
    </ext>
  </extLst>
</table>
</file>

<file path=xl/tables/table2.xml><?xml version="1.0" encoding="utf-8"?>
<table xmlns="http://schemas.openxmlformats.org/spreadsheetml/2006/main" id="3" name="AugustAttendance" displayName="AugustAttendance" ref="B6:AM12" totalsRowCount="1">
  <tableColumns count="38">
    <tableColumn id="38" name="Student ID" totalsRowDxfId="951"/>
    <tableColumn id="1" name="Student Name" totalsRowLabel="Total days absent" totalsRowDxfId="950">
      <calculatedColumnFormula>IFERROR(VLOOKUP(AugustAttendance[[#This Row],[Student ID]],StudentList[],18,FALSE),"")</calculatedColumnFormula>
    </tableColumn>
    <tableColumn id="2" name="1" totalsRowFunction="custom" totalsRowDxfId="949">
      <totalsRowFormula>COUNTIF(AugustAttendance[1],"U")+COUNTIF(AugustAttendance[1],"E")</totalsRowFormula>
    </tableColumn>
    <tableColumn id="3" name="2" totalsRowFunction="custom" totalsRowDxfId="948">
      <totalsRowFormula>COUNTIF(AugustAttendance[2],"U")+COUNTIF(AugustAttendance[2],"E")</totalsRowFormula>
    </tableColumn>
    <tableColumn id="4" name="3" totalsRowFunction="custom" totalsRowDxfId="947">
      <totalsRowFormula>COUNTIF(AugustAttendance[3],"U")+COUNTIF(AugustAttendance[3],"E")</totalsRowFormula>
    </tableColumn>
    <tableColumn id="5" name="4" totalsRowFunction="custom" totalsRowDxfId="946">
      <totalsRowFormula>COUNTIF(AugustAttendance[4],"U")+COUNTIF(AugustAttendance[4],"E")</totalsRowFormula>
    </tableColumn>
    <tableColumn id="6" name="5" totalsRowFunction="custom" totalsRowDxfId="945">
      <totalsRowFormula>COUNTIF(AugustAttendance[5],"U")+COUNTIF(AugustAttendance[5],"E")</totalsRowFormula>
    </tableColumn>
    <tableColumn id="7" name="6" totalsRowFunction="custom" totalsRowDxfId="944">
      <totalsRowFormula>COUNTIF(AugustAttendance[6],"U")+COUNTIF(AugustAttendance[6],"E")</totalsRowFormula>
    </tableColumn>
    <tableColumn id="8" name="7" totalsRowFunction="custom" totalsRowDxfId="943">
      <totalsRowFormula>COUNTIF(AugustAttendance[7],"U")+COUNTIF(AugustAttendance[7],"E")</totalsRowFormula>
    </tableColumn>
    <tableColumn id="9" name="8" totalsRowFunction="custom" totalsRowDxfId="942">
      <totalsRowFormula>COUNTIF(AugustAttendance[8],"U")+COUNTIF(AugustAttendance[8],"E")</totalsRowFormula>
    </tableColumn>
    <tableColumn id="10" name="9" totalsRowFunction="custom" totalsRowDxfId="941">
      <totalsRowFormula>COUNTIF(AugustAttendance[9],"U")+COUNTIF(AugustAttendance[9],"E")</totalsRowFormula>
    </tableColumn>
    <tableColumn id="11" name="10" totalsRowFunction="custom" totalsRowDxfId="940">
      <totalsRowFormula>COUNTIF(AugustAttendance[10],"U")+COUNTIF(AugustAttendance[10],"E")</totalsRowFormula>
    </tableColumn>
    <tableColumn id="12" name="11" totalsRowFunction="custom" totalsRowDxfId="939">
      <totalsRowFormula>COUNTIF(AugustAttendance[11],"U")+COUNTIF(AugustAttendance[11],"E")</totalsRowFormula>
    </tableColumn>
    <tableColumn id="13" name="12" totalsRowFunction="custom" totalsRowDxfId="938">
      <totalsRowFormula>COUNTIF(AugustAttendance[12],"U")+COUNTIF(AugustAttendance[12],"E")</totalsRowFormula>
    </tableColumn>
    <tableColumn id="14" name="13" totalsRowFunction="custom" totalsRowDxfId="937">
      <totalsRowFormula>COUNTIF(AugustAttendance[13],"U")+COUNTIF(AugustAttendance[13],"E")</totalsRowFormula>
    </tableColumn>
    <tableColumn id="15" name="14" totalsRowFunction="custom" totalsRowDxfId="936">
      <totalsRowFormula>COUNTIF(AugustAttendance[14],"U")+COUNTIF(AugustAttendance[14],"E")</totalsRowFormula>
    </tableColumn>
    <tableColumn id="16" name="15" totalsRowFunction="custom" totalsRowDxfId="935">
      <totalsRowFormula>COUNTIF(AugustAttendance[15],"U")+COUNTIF(AugustAttendance[15],"E")</totalsRowFormula>
    </tableColumn>
    <tableColumn id="17" name="16" totalsRowFunction="custom" totalsRowDxfId="934">
      <totalsRowFormula>COUNTIF(AugustAttendance[16],"U")+COUNTIF(AugustAttendance[16],"E")</totalsRowFormula>
    </tableColumn>
    <tableColumn id="18" name="17" totalsRowFunction="custom" totalsRowDxfId="933">
      <totalsRowFormula>COUNTIF(AugustAttendance[17],"U")+COUNTIF(AugustAttendance[17],"E")</totalsRowFormula>
    </tableColumn>
    <tableColumn id="19" name="18" totalsRowFunction="custom" totalsRowDxfId="932">
      <totalsRowFormula>COUNTIF(AugustAttendance[18],"U")+COUNTIF(AugustAttendance[18],"E")</totalsRowFormula>
    </tableColumn>
    <tableColumn id="20" name="19" totalsRowFunction="custom" totalsRowDxfId="931">
      <totalsRowFormula>COUNTIF(AugustAttendance[19],"U")+COUNTIF(AugustAttendance[19],"E")</totalsRowFormula>
    </tableColumn>
    <tableColumn id="21" name="20" totalsRowFunction="custom" totalsRowDxfId="930">
      <totalsRowFormula>COUNTIF(AugustAttendance[20],"U")+COUNTIF(AugustAttendance[20],"E")</totalsRowFormula>
    </tableColumn>
    <tableColumn id="22" name="21" totalsRowFunction="custom" totalsRowDxfId="929">
      <totalsRowFormula>COUNTIF(AugustAttendance[21],"U")+COUNTIF(AugustAttendance[21],"E")</totalsRowFormula>
    </tableColumn>
    <tableColumn id="23" name="22" totalsRowFunction="custom" totalsRowDxfId="928">
      <totalsRowFormula>COUNTIF(AugustAttendance[22],"U")+COUNTIF(AugustAttendance[22],"E")</totalsRowFormula>
    </tableColumn>
    <tableColumn id="24" name="23" totalsRowFunction="custom" totalsRowDxfId="927">
      <totalsRowFormula>COUNTIF(AugustAttendance[23],"U")+COUNTIF(AugustAttendance[23],"E")</totalsRowFormula>
    </tableColumn>
    <tableColumn id="25" name="24" totalsRowFunction="custom" totalsRowDxfId="926">
      <totalsRowFormula>COUNTIF(AugustAttendance[24],"U")+COUNTIF(AugustAttendance[24],"E")</totalsRowFormula>
    </tableColumn>
    <tableColumn id="26" name="25" totalsRowFunction="custom" totalsRowDxfId="925">
      <totalsRowFormula>COUNTIF(AugustAttendance[25],"U")+COUNTIF(AugustAttendance[25],"E")</totalsRowFormula>
    </tableColumn>
    <tableColumn id="27" name="26" totalsRowFunction="custom" totalsRowDxfId="924">
      <totalsRowFormula>COUNTIF(AugustAttendance[26],"U")+COUNTIF(AugustAttendance[26],"E")</totalsRowFormula>
    </tableColumn>
    <tableColumn id="28" name="27" totalsRowFunction="custom" totalsRowDxfId="923">
      <totalsRowFormula>COUNTIF(AugustAttendance[27],"U")+COUNTIF(AugustAttendance[27],"E")</totalsRowFormula>
    </tableColumn>
    <tableColumn id="29" name="28" totalsRowFunction="custom" totalsRowDxfId="922">
      <totalsRowFormula>COUNTIF(AugustAttendance[28],"U")+COUNTIF(AugustAttendance[28],"E")</totalsRowFormula>
    </tableColumn>
    <tableColumn id="30" name="29" totalsRowFunction="custom" totalsRowDxfId="921">
      <totalsRowFormula>COUNTIF(AugustAttendance[29],"U")+COUNTIF(AugustAttendance[29],"E")</totalsRowFormula>
    </tableColumn>
    <tableColumn id="31" name="30" totalsRowFunction="custom" totalsRowDxfId="920">
      <totalsRowFormula>COUNTIF(AugustAttendance[30],"U")+COUNTIF(AugustAttendance[30],"E")</totalsRowFormula>
    </tableColumn>
    <tableColumn id="32" name="31" totalsRowFunction="custom" totalsRowDxfId="919">
      <totalsRowFormula>COUNTIF(AugustAttendance[31],"U")+COUNTIF(AugustAttendance[31],"E")</totalsRowFormula>
    </tableColumn>
    <tableColumn id="35" name="T" totalsRowFunction="sum" dataDxfId="918" totalsRowDxfId="917">
      <calculatedColumnFormula>COUNTIF(AugustAttendance[[#This Row],[1]:[31]],Code1)</calculatedColumnFormula>
    </tableColumn>
    <tableColumn id="34" name="E" totalsRowFunction="sum" dataDxfId="916" totalsRowDxfId="915">
      <calculatedColumnFormula>COUNTIF(AugustAttendance[[#This Row],[1]:[31]],Code2)</calculatedColumnFormula>
    </tableColumn>
    <tableColumn id="37" name="U" totalsRowFunction="sum" dataDxfId="914" totalsRowDxfId="913">
      <calculatedColumnFormula>COUNTIF(AugustAttendance[[#This Row],[1]:[31]],Code3)</calculatedColumnFormula>
    </tableColumn>
    <tableColumn id="36" name="P" totalsRowFunction="sum" dataDxfId="912" totalsRowDxfId="911">
      <calculatedColumnFormula>COUNTIF(AugustAttendance[[#This Row],[1]:[31]],Code4)</calculatedColumnFormula>
    </tableColumn>
    <tableColumn id="33" name="Days Absent" totalsRowFunction="sum" totalsRowDxfId="910">
      <calculatedColumnFormula>SUM(AugustAttendance[[#This Row],[E]:[U]])</calculatedColumnFormula>
    </tableColumn>
  </tableColumns>
  <tableStyleInfo name="Employee Absence Table" showFirstColumn="0" showLastColumn="1" showRowStripes="1" showColumnStripes="1"/>
</table>
</file>

<file path=xl/tables/table3.xml><?xml version="1.0" encoding="utf-8"?>
<table xmlns="http://schemas.openxmlformats.org/spreadsheetml/2006/main" id="10" name="SeptemberAttendance" displayName="SeptemberAttendance" ref="B6:AM12" totalsRowCount="1">
  <tableColumns count="38">
    <tableColumn id="38" name="Student ID" totalsRowDxfId="899"/>
    <tableColumn id="1" name="Student Name" totalsRowLabel="Total days absent" dataDxfId="898" totalsRowDxfId="897">
      <calculatedColumnFormula>IFERROR(VLOOKUP(SeptemberAttendance[[#This Row],[Student ID]],StudentList[],18,FALSE),"")</calculatedColumnFormula>
    </tableColumn>
    <tableColumn id="2" name="1" totalsRowFunction="custom" dataDxfId="896" totalsRowDxfId="895">
      <totalsRowFormula>COUNTIF(SeptemberAttendance[1],"U")+COUNTIF(SeptemberAttendance[1],"E")</totalsRowFormula>
    </tableColumn>
    <tableColumn id="3" name="2" totalsRowFunction="custom" dataDxfId="894" totalsRowDxfId="893">
      <totalsRowFormula>COUNTIF(SeptemberAttendance[2],"U")+COUNTIF(SeptemberAttendance[2],"E")</totalsRowFormula>
    </tableColumn>
    <tableColumn id="4" name="3" totalsRowFunction="custom" dataDxfId="892" totalsRowDxfId="891">
      <totalsRowFormula>COUNTIF(SeptemberAttendance[3],"U")+COUNTIF(SeptemberAttendance[3],"E")</totalsRowFormula>
    </tableColumn>
    <tableColumn id="5" name="4" totalsRowFunction="custom" dataDxfId="890" totalsRowDxfId="889">
      <totalsRowFormula>COUNTIF(SeptemberAttendance[4],"U")+COUNTIF(SeptemberAttendance[4],"E")</totalsRowFormula>
    </tableColumn>
    <tableColumn id="6" name="5" totalsRowFunction="custom" dataDxfId="888" totalsRowDxfId="887">
      <totalsRowFormula>COUNTIF(SeptemberAttendance[5],"U")+COUNTIF(SeptemberAttendance[5],"E")</totalsRowFormula>
    </tableColumn>
    <tableColumn id="7" name="6" totalsRowFunction="custom" dataDxfId="886" totalsRowDxfId="885">
      <totalsRowFormula>COUNTIF(SeptemberAttendance[6],"U")+COUNTIF(SeptemberAttendance[6],"E")</totalsRowFormula>
    </tableColumn>
    <tableColumn id="8" name="7" totalsRowFunction="custom" dataDxfId="884" totalsRowDxfId="883">
      <totalsRowFormula>COUNTIF(SeptemberAttendance[7],"U")+COUNTIF(SeptemberAttendance[7],"E")</totalsRowFormula>
    </tableColumn>
    <tableColumn id="9" name="8" totalsRowFunction="custom" dataDxfId="882" totalsRowDxfId="881">
      <totalsRowFormula>COUNTIF(SeptemberAttendance[8],"U")+COUNTIF(SeptemberAttendance[8],"E")</totalsRowFormula>
    </tableColumn>
    <tableColumn id="10" name="9" totalsRowFunction="custom" dataDxfId="880" totalsRowDxfId="879">
      <totalsRowFormula>COUNTIF(SeptemberAttendance[9],"U")+COUNTIF(SeptemberAttendance[9],"E")</totalsRowFormula>
    </tableColumn>
    <tableColumn id="11" name="10" totalsRowFunction="custom" dataDxfId="878" totalsRowDxfId="877">
      <totalsRowFormula>COUNTIF(SeptemberAttendance[10],"U")+COUNTIF(SeptemberAttendance[10],"E")</totalsRowFormula>
    </tableColumn>
    <tableColumn id="12" name="11" totalsRowFunction="custom" dataDxfId="876" totalsRowDxfId="875">
      <totalsRowFormula>COUNTIF(SeptemberAttendance[11],"U")+COUNTIF(SeptemberAttendance[11],"E")</totalsRowFormula>
    </tableColumn>
    <tableColumn id="13" name="12" totalsRowFunction="custom" dataDxfId="874" totalsRowDxfId="873">
      <totalsRowFormula>COUNTIF(SeptemberAttendance[12],"U")+COUNTIF(SeptemberAttendance[12],"E")</totalsRowFormula>
    </tableColumn>
    <tableColumn id="14" name="13" totalsRowFunction="custom" dataDxfId="872" totalsRowDxfId="871">
      <totalsRowFormula>COUNTIF(SeptemberAttendance[13],"U")+COUNTIF(SeptemberAttendance[13],"E")</totalsRowFormula>
    </tableColumn>
    <tableColumn id="15" name="14" totalsRowFunction="custom" dataDxfId="870" totalsRowDxfId="869">
      <totalsRowFormula>COUNTIF(SeptemberAttendance[14],"U")+COUNTIF(SeptemberAttendance[14],"E")</totalsRowFormula>
    </tableColumn>
    <tableColumn id="16" name="15" totalsRowFunction="custom" dataDxfId="868" totalsRowDxfId="867">
      <totalsRowFormula>COUNTIF(SeptemberAttendance[15],"U")+COUNTIF(SeptemberAttendance[15],"E")</totalsRowFormula>
    </tableColumn>
    <tableColumn id="17" name="16" totalsRowFunction="custom" dataDxfId="866" totalsRowDxfId="865">
      <totalsRowFormula>COUNTIF(SeptemberAttendance[16],"U")+COUNTIF(SeptemberAttendance[16],"E")</totalsRowFormula>
    </tableColumn>
    <tableColumn id="18" name="17" totalsRowFunction="custom" dataDxfId="864" totalsRowDxfId="863">
      <totalsRowFormula>COUNTIF(SeptemberAttendance[17],"U")+COUNTIF(SeptemberAttendance[17],"E")</totalsRowFormula>
    </tableColumn>
    <tableColumn id="19" name="18" totalsRowFunction="custom" dataDxfId="862" totalsRowDxfId="861">
      <totalsRowFormula>COUNTIF(SeptemberAttendance[18],"U")+COUNTIF(SeptemberAttendance[18],"E")</totalsRowFormula>
    </tableColumn>
    <tableColumn id="20" name="19" totalsRowFunction="custom" dataDxfId="860" totalsRowDxfId="859">
      <totalsRowFormula>COUNTIF(SeptemberAttendance[19],"U")+COUNTIF(SeptemberAttendance[19],"E")</totalsRowFormula>
    </tableColumn>
    <tableColumn id="21" name="20" totalsRowFunction="custom" dataDxfId="858" totalsRowDxfId="857">
      <totalsRowFormula>COUNTIF(SeptemberAttendance[20],"U")+COUNTIF(SeptemberAttendance[20],"E")</totalsRowFormula>
    </tableColumn>
    <tableColumn id="22" name="21" totalsRowFunction="custom" dataDxfId="856" totalsRowDxfId="855">
      <totalsRowFormula>COUNTIF(SeptemberAttendance[21],"U")+COUNTIF(SeptemberAttendance[21],"E")</totalsRowFormula>
    </tableColumn>
    <tableColumn id="23" name="22" totalsRowFunction="custom" dataDxfId="854" totalsRowDxfId="853">
      <totalsRowFormula>COUNTIF(SeptemberAttendance[22],"U")+COUNTIF(SeptemberAttendance[22],"E")</totalsRowFormula>
    </tableColumn>
    <tableColumn id="24" name="23" totalsRowFunction="custom" dataDxfId="852" totalsRowDxfId="851">
      <totalsRowFormula>COUNTIF(SeptemberAttendance[23],"U")+COUNTIF(SeptemberAttendance[23],"E")</totalsRowFormula>
    </tableColumn>
    <tableColumn id="25" name="24" totalsRowFunction="custom" dataDxfId="850" totalsRowDxfId="849">
      <totalsRowFormula>COUNTIF(SeptemberAttendance[24],"U")+COUNTIF(SeptemberAttendance[24],"E")</totalsRowFormula>
    </tableColumn>
    <tableColumn id="26" name="25" totalsRowFunction="custom" dataDxfId="848" totalsRowDxfId="847">
      <totalsRowFormula>COUNTIF(SeptemberAttendance[25],"U")+COUNTIF(SeptemberAttendance[25],"E")</totalsRowFormula>
    </tableColumn>
    <tableColumn id="27" name="26" totalsRowFunction="custom" dataDxfId="846" totalsRowDxfId="845">
      <totalsRowFormula>COUNTIF(SeptemberAttendance[26],"U")+COUNTIF(SeptemberAttendance[26],"E")</totalsRowFormula>
    </tableColumn>
    <tableColumn id="28" name="27" totalsRowFunction="custom" dataDxfId="844" totalsRowDxfId="843">
      <totalsRowFormula>COUNTIF(SeptemberAttendance[27],"U")+COUNTIF(SeptemberAttendance[27],"E")</totalsRowFormula>
    </tableColumn>
    <tableColumn id="29" name="28" totalsRowFunction="custom" dataDxfId="842" totalsRowDxfId="841">
      <totalsRowFormula>COUNTIF(SeptemberAttendance[28],"U")+COUNTIF(SeptemberAttendance[28],"E")</totalsRowFormula>
    </tableColumn>
    <tableColumn id="30" name="29" totalsRowFunction="custom" dataDxfId="840" totalsRowDxfId="839">
      <totalsRowFormula>COUNTIF(SeptemberAttendance[29],"U")+COUNTIF(SeptemberAttendance[29],"E")</totalsRowFormula>
    </tableColumn>
    <tableColumn id="31" name="30" totalsRowFunction="custom" totalsRowDxfId="838">
      <totalsRowFormula>COUNTIF(SeptemberAttendance[30],"U")+COUNTIF(SeptemberAttendance[30],"E")</totalsRowFormula>
    </tableColumn>
    <tableColumn id="32" name=" " totalsRowFunction="custom" totalsRowDxfId="837">
      <totalsRowFormula>COUNTIF(SeptemberAttendance[[ ]],"U")+COUNTIF(SeptemberAttendance[[ ]],"E")</totalsRowFormula>
    </tableColumn>
    <tableColumn id="35" name="T" totalsRowFunction="sum" dataDxfId="836" totalsRowDxfId="835">
      <calculatedColumnFormula>COUNTIF(SeptemberAttendance[[#This Row],[1]:[ ]],Code1)</calculatedColumnFormula>
    </tableColumn>
    <tableColumn id="34" name="E" totalsRowFunction="sum" dataDxfId="834" totalsRowDxfId="833">
      <calculatedColumnFormula>COUNTIF(SeptemberAttendance[[#This Row],[1]:[ ]],Code2)</calculatedColumnFormula>
    </tableColumn>
    <tableColumn id="37" name="U" totalsRowFunction="sum" dataDxfId="832" totalsRowDxfId="831">
      <calculatedColumnFormula>COUNTIF(SeptemberAttendance[[#This Row],[1]:[ ]],Code3)</calculatedColumnFormula>
    </tableColumn>
    <tableColumn id="36" name="P" totalsRowFunction="sum" dataDxfId="830" totalsRowDxfId="829">
      <calculatedColumnFormula>COUNTIF(SeptemberAttendance[[#This Row],[1]:[ ]],Code4)</calculatedColumnFormula>
    </tableColumn>
    <tableColumn id="33" name="Days Absent" totalsRowFunction="sum" totalsRowDxfId="828">
      <calculatedColumnFormula>SUM(SeptemberAttendance[[#This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September."/>
    </ext>
  </extLst>
</table>
</file>

<file path=xl/tables/table4.xml><?xml version="1.0" encoding="utf-8"?>
<table xmlns="http://schemas.openxmlformats.org/spreadsheetml/2006/main" id="2" name="OctoberAttendance" displayName="OctoberAttendance" ref="B6:AM12" totalsRowCount="1">
  <tableColumns count="38">
    <tableColumn id="38" name="Student ID" totalsRowDxfId="817"/>
    <tableColumn id="1" name="Student Name" totalsRowLabel="Total days absent" dataDxfId="816" totalsRowDxfId="815">
      <calculatedColumnFormula>IFERROR(VLOOKUP(OctoberAttendance[[#This Row],[Student ID]],StudentList[],18,FALSE),"")</calculatedColumnFormula>
    </tableColumn>
    <tableColumn id="2" name="1" totalsRowFunction="custom" dataDxfId="814" totalsRowDxfId="813">
      <totalsRowFormula>COUNTIF(OctoberAttendance[1],"U")+COUNTIF(OctoberAttendance[1],"E")</totalsRowFormula>
    </tableColumn>
    <tableColumn id="3" name="2" totalsRowFunction="custom" dataDxfId="812" totalsRowDxfId="811">
      <totalsRowFormula>COUNTIF(OctoberAttendance[2],"U")+COUNTIF(OctoberAttendance[2],"E")</totalsRowFormula>
    </tableColumn>
    <tableColumn id="4" name="3" totalsRowFunction="custom" dataDxfId="810" totalsRowDxfId="809">
      <totalsRowFormula>COUNTIF(OctoberAttendance[3],"U")+COUNTIF(OctoberAttendance[3],"E")</totalsRowFormula>
    </tableColumn>
    <tableColumn id="5" name="4" totalsRowFunction="custom" dataDxfId="808" totalsRowDxfId="807">
      <totalsRowFormula>COUNTIF(OctoberAttendance[4],"U")+COUNTIF(OctoberAttendance[4],"E")</totalsRowFormula>
    </tableColumn>
    <tableColumn id="6" name="5" totalsRowFunction="custom" dataDxfId="806" totalsRowDxfId="805">
      <totalsRowFormula>COUNTIF(OctoberAttendance[5],"U")+COUNTIF(OctoberAttendance[5],"E")</totalsRowFormula>
    </tableColumn>
    <tableColumn id="7" name="6" totalsRowFunction="custom" dataDxfId="804" totalsRowDxfId="803">
      <totalsRowFormula>COUNTIF(OctoberAttendance[6],"U")+COUNTIF(OctoberAttendance[6],"E")</totalsRowFormula>
    </tableColumn>
    <tableColumn id="8" name="7" totalsRowFunction="custom" dataDxfId="802" totalsRowDxfId="801">
      <totalsRowFormula>COUNTIF(OctoberAttendance[7],"U")+COUNTIF(OctoberAttendance[7],"E")</totalsRowFormula>
    </tableColumn>
    <tableColumn id="9" name="8" totalsRowFunction="custom" dataDxfId="800" totalsRowDxfId="799">
      <totalsRowFormula>COUNTIF(OctoberAttendance[8],"U")+COUNTIF(OctoberAttendance[8],"E")</totalsRowFormula>
    </tableColumn>
    <tableColumn id="10" name="9" totalsRowFunction="custom" dataDxfId="798" totalsRowDxfId="797">
      <totalsRowFormula>COUNTIF(OctoberAttendance[9],"U")+COUNTIF(OctoberAttendance[9],"E")</totalsRowFormula>
    </tableColumn>
    <tableColumn id="11" name="10" totalsRowFunction="custom" dataDxfId="796" totalsRowDxfId="795">
      <totalsRowFormula>COUNTIF(OctoberAttendance[10],"U")+COUNTIF(OctoberAttendance[10],"E")</totalsRowFormula>
    </tableColumn>
    <tableColumn id="12" name="11" totalsRowFunction="custom" dataDxfId="794" totalsRowDxfId="793">
      <totalsRowFormula>COUNTIF(OctoberAttendance[11],"U")+COUNTIF(OctoberAttendance[11],"E")</totalsRowFormula>
    </tableColumn>
    <tableColumn id="13" name="12" totalsRowFunction="custom" dataDxfId="792" totalsRowDxfId="791">
      <totalsRowFormula>COUNTIF(OctoberAttendance[12],"U")+COUNTIF(OctoberAttendance[12],"E")</totalsRowFormula>
    </tableColumn>
    <tableColumn id="14" name="13" totalsRowFunction="custom" dataDxfId="790" totalsRowDxfId="789">
      <totalsRowFormula>COUNTIF(OctoberAttendance[13],"U")+COUNTIF(OctoberAttendance[13],"E")</totalsRowFormula>
    </tableColumn>
    <tableColumn id="15" name="14" totalsRowFunction="custom" dataDxfId="788" totalsRowDxfId="787">
      <totalsRowFormula>COUNTIF(OctoberAttendance[14],"U")+COUNTIF(OctoberAttendance[14],"E")</totalsRowFormula>
    </tableColumn>
    <tableColumn id="16" name="15" totalsRowFunction="custom" dataDxfId="786" totalsRowDxfId="785">
      <totalsRowFormula>COUNTIF(OctoberAttendance[15],"U")+COUNTIF(OctoberAttendance[15],"E")</totalsRowFormula>
    </tableColumn>
    <tableColumn id="17" name="16" totalsRowFunction="custom" dataDxfId="784" totalsRowDxfId="783">
      <totalsRowFormula>COUNTIF(OctoberAttendance[16],"U")+COUNTIF(OctoberAttendance[16],"E")</totalsRowFormula>
    </tableColumn>
    <tableColumn id="18" name="17" totalsRowFunction="custom" dataDxfId="782" totalsRowDxfId="781">
      <totalsRowFormula>COUNTIF(OctoberAttendance[17],"U")+COUNTIF(OctoberAttendance[17],"E")</totalsRowFormula>
    </tableColumn>
    <tableColumn id="19" name="18" totalsRowFunction="custom" dataDxfId="780" totalsRowDxfId="779">
      <totalsRowFormula>COUNTIF(OctoberAttendance[18],"U")+COUNTIF(OctoberAttendance[18],"E")</totalsRowFormula>
    </tableColumn>
    <tableColumn id="20" name="19" totalsRowFunction="custom" dataDxfId="778" totalsRowDxfId="777">
      <totalsRowFormula>COUNTIF(OctoberAttendance[19],"U")+COUNTIF(OctoberAttendance[19],"E")</totalsRowFormula>
    </tableColumn>
    <tableColumn id="21" name="20" totalsRowFunction="custom" dataDxfId="776" totalsRowDxfId="775">
      <totalsRowFormula>COUNTIF(OctoberAttendance[20],"U")+COUNTIF(OctoberAttendance[20],"E")</totalsRowFormula>
    </tableColumn>
    <tableColumn id="22" name="21" totalsRowFunction="custom" dataDxfId="774" totalsRowDxfId="773">
      <totalsRowFormula>COUNTIF(OctoberAttendance[21],"U")+COUNTIF(OctoberAttendance[21],"E")</totalsRowFormula>
    </tableColumn>
    <tableColumn id="23" name="22" totalsRowFunction="custom" dataDxfId="772" totalsRowDxfId="771">
      <totalsRowFormula>COUNTIF(OctoberAttendance[22],"U")+COUNTIF(OctoberAttendance[22],"E")</totalsRowFormula>
    </tableColumn>
    <tableColumn id="24" name="23" totalsRowFunction="custom" dataDxfId="770" totalsRowDxfId="769">
      <totalsRowFormula>COUNTIF(OctoberAttendance[23],"U")+COUNTIF(OctoberAttendance[23],"E")</totalsRowFormula>
    </tableColumn>
    <tableColumn id="25" name="24" totalsRowFunction="custom" dataDxfId="768" totalsRowDxfId="767">
      <totalsRowFormula>COUNTIF(OctoberAttendance[24],"U")+COUNTIF(OctoberAttendance[24],"E")</totalsRowFormula>
    </tableColumn>
    <tableColumn id="26" name="25" totalsRowFunction="custom" dataDxfId="766" totalsRowDxfId="765">
      <totalsRowFormula>COUNTIF(OctoberAttendance[25],"U")+COUNTIF(OctoberAttendance[25],"E")</totalsRowFormula>
    </tableColumn>
    <tableColumn id="27" name="26" totalsRowFunction="custom" dataDxfId="764" totalsRowDxfId="763">
      <totalsRowFormula>COUNTIF(OctoberAttendance[26],"U")+COUNTIF(OctoberAttendance[26],"E")</totalsRowFormula>
    </tableColumn>
    <tableColumn id="28" name="27" totalsRowFunction="custom" dataDxfId="762" totalsRowDxfId="761">
      <totalsRowFormula>COUNTIF(OctoberAttendance[27],"U")+COUNTIF(OctoberAttendance[27],"E")</totalsRowFormula>
    </tableColumn>
    <tableColumn id="29" name="28" totalsRowFunction="custom" dataDxfId="760" totalsRowDxfId="759">
      <totalsRowFormula>COUNTIF(OctoberAttendance[28],"U")+COUNTIF(OctoberAttendance[28],"E")</totalsRowFormula>
    </tableColumn>
    <tableColumn id="30" name="29" totalsRowFunction="custom" dataDxfId="758" totalsRowDxfId="757">
      <totalsRowFormula>COUNTIF(OctoberAttendance[29],"U")+COUNTIF(OctoberAttendance[29],"E")</totalsRowFormula>
    </tableColumn>
    <tableColumn id="31" name="30" totalsRowFunction="custom" totalsRowDxfId="756">
      <totalsRowFormula>COUNTIF(OctoberAttendance[30],"U")+COUNTIF(OctoberAttendance[30],"E")</totalsRowFormula>
    </tableColumn>
    <tableColumn id="32" name="31" totalsRowFunction="custom" totalsRowDxfId="755">
      <totalsRowFormula>COUNTIF(OctoberAttendance[31],"U")+COUNTIF(OctoberAttendance[31],"E")</totalsRowFormula>
    </tableColumn>
    <tableColumn id="35" name="T" totalsRowFunction="sum" dataDxfId="754" totalsRowDxfId="753">
      <calculatedColumnFormula>COUNTIF(OctoberAttendance[[#This Row],[1]:[31]],Code1)</calculatedColumnFormula>
    </tableColumn>
    <tableColumn id="34" name="E" totalsRowFunction="sum" dataDxfId="752" totalsRowDxfId="751">
      <calculatedColumnFormula>COUNTIF(OctoberAttendance[[#This Row],[1]:[31]],Code2)</calculatedColumnFormula>
    </tableColumn>
    <tableColumn id="37" name="U" totalsRowFunction="sum" dataDxfId="750" totalsRowDxfId="749">
      <calculatedColumnFormula>COUNTIF(OctoberAttendance[[#This Row],[1]:[31]],Code3)</calculatedColumnFormula>
    </tableColumn>
    <tableColumn id="36" name="P" totalsRowFunction="sum" dataDxfId="748" totalsRowDxfId="747">
      <calculatedColumnFormula>COUNTIF(OctoberAttendance[[#This Row],[1]:[31]],Code4)</calculatedColumnFormula>
    </tableColumn>
    <tableColumn id="33" name="Days Absent" totalsRowFunction="sum" totalsRowDxfId="746">
      <calculatedColumnFormula>SUM(OctoberAttendance[[#This Row],[E]:[U]])</calculatedColumnFormula>
    </tableColumn>
  </tableColumns>
  <tableStyleInfo name="Employee Absence Table" showFirstColumn="0" showLastColumn="1" showRowStripes="1" showColumnStripes="1"/>
</table>
</file>

<file path=xl/tables/table5.xml><?xml version="1.0" encoding="utf-8"?>
<table xmlns="http://schemas.openxmlformats.org/spreadsheetml/2006/main" id="4" name="NovemberAttendance" displayName="NovemberAttendance" ref="B6:AM12" totalsRowCount="1">
  <tableColumns count="38">
    <tableColumn id="38" name="Student ID" totalsRowDxfId="735"/>
    <tableColumn id="1" name="Student Name" totalsRowLabel="Total days absent" dataDxfId="734" totalsRowDxfId="733">
      <calculatedColumnFormula>IFERROR(VLOOKUP(NovemberAttendance[[#This Row],[Student ID]],StudentList[],18,FALSE),"")</calculatedColumnFormula>
    </tableColumn>
    <tableColumn id="2" name="1" totalsRowFunction="custom" dataDxfId="732" totalsRowDxfId="731">
      <totalsRowFormula>COUNTIF(NovemberAttendance[1],"U")+COUNTIF(NovemberAttendance[1],"E")</totalsRowFormula>
    </tableColumn>
    <tableColumn id="3" name="2" totalsRowFunction="custom" dataDxfId="730" totalsRowDxfId="729">
      <totalsRowFormula>COUNTIF(NovemberAttendance[2],"U")+COUNTIF(NovemberAttendance[2],"E")</totalsRowFormula>
    </tableColumn>
    <tableColumn id="4" name="3" totalsRowFunction="custom" dataDxfId="728" totalsRowDxfId="727">
      <totalsRowFormula>COUNTIF(NovemberAttendance[3],"U")+COUNTIF(NovemberAttendance[3],"E")</totalsRowFormula>
    </tableColumn>
    <tableColumn id="5" name="4" totalsRowFunction="custom" dataDxfId="726" totalsRowDxfId="725">
      <totalsRowFormula>COUNTIF(NovemberAttendance[4],"U")+COUNTIF(NovemberAttendance[4],"E")</totalsRowFormula>
    </tableColumn>
    <tableColumn id="6" name="5" totalsRowFunction="custom" dataDxfId="724" totalsRowDxfId="723">
      <totalsRowFormula>COUNTIF(NovemberAttendance[5],"U")+COUNTIF(NovemberAttendance[5],"E")</totalsRowFormula>
    </tableColumn>
    <tableColumn id="7" name="6" totalsRowFunction="custom" dataDxfId="722" totalsRowDxfId="721">
      <totalsRowFormula>COUNTIF(NovemberAttendance[6],"U")+COUNTIF(NovemberAttendance[6],"E")</totalsRowFormula>
    </tableColumn>
    <tableColumn id="8" name="7" totalsRowFunction="custom" dataDxfId="720" totalsRowDxfId="719">
      <totalsRowFormula>COUNTIF(NovemberAttendance[7],"U")+COUNTIF(NovemberAttendance[7],"E")</totalsRowFormula>
    </tableColumn>
    <tableColumn id="9" name="8" totalsRowFunction="custom" dataDxfId="718" totalsRowDxfId="717">
      <totalsRowFormula>COUNTIF(NovemberAttendance[8],"U")+COUNTIF(NovemberAttendance[8],"E")</totalsRowFormula>
    </tableColumn>
    <tableColumn id="10" name="9" totalsRowFunction="custom" dataDxfId="716" totalsRowDxfId="715">
      <totalsRowFormula>COUNTIF(NovemberAttendance[9],"U")+COUNTIF(NovemberAttendance[9],"E")</totalsRowFormula>
    </tableColumn>
    <tableColumn id="11" name="10" totalsRowFunction="custom" dataDxfId="714" totalsRowDxfId="713">
      <totalsRowFormula>COUNTIF(NovemberAttendance[10],"U")+COUNTIF(NovemberAttendance[10],"E")</totalsRowFormula>
    </tableColumn>
    <tableColumn id="12" name="11" totalsRowFunction="custom" dataDxfId="712" totalsRowDxfId="711">
      <totalsRowFormula>COUNTIF(NovemberAttendance[11],"U")+COUNTIF(NovemberAttendance[11],"E")</totalsRowFormula>
    </tableColumn>
    <tableColumn id="13" name="12" totalsRowFunction="custom" dataDxfId="710" totalsRowDxfId="709">
      <totalsRowFormula>COUNTIF(NovemberAttendance[12],"U")+COUNTIF(NovemberAttendance[12],"E")</totalsRowFormula>
    </tableColumn>
    <tableColumn id="14" name="13" totalsRowFunction="custom" dataDxfId="708" totalsRowDxfId="707">
      <totalsRowFormula>COUNTIF(NovemberAttendance[13],"U")+COUNTIF(NovemberAttendance[13],"E")</totalsRowFormula>
    </tableColumn>
    <tableColumn id="15" name="14" totalsRowFunction="custom" dataDxfId="706" totalsRowDxfId="705">
      <totalsRowFormula>COUNTIF(NovemberAttendance[14],"U")+COUNTIF(NovemberAttendance[14],"E")</totalsRowFormula>
    </tableColumn>
    <tableColumn id="16" name="15" totalsRowFunction="custom" dataDxfId="704" totalsRowDxfId="703">
      <totalsRowFormula>COUNTIF(NovemberAttendance[15],"U")+COUNTIF(NovemberAttendance[15],"E")</totalsRowFormula>
    </tableColumn>
    <tableColumn id="17" name="16" totalsRowFunction="custom" dataDxfId="702" totalsRowDxfId="701">
      <totalsRowFormula>COUNTIF(NovemberAttendance[16],"U")+COUNTIF(NovemberAttendance[16],"E")</totalsRowFormula>
    </tableColumn>
    <tableColumn id="18" name="17" totalsRowFunction="custom" dataDxfId="700" totalsRowDxfId="699">
      <totalsRowFormula>COUNTIF(NovemberAttendance[17],"U")+COUNTIF(NovemberAttendance[17],"E")</totalsRowFormula>
    </tableColumn>
    <tableColumn id="19" name="18" totalsRowFunction="custom" dataDxfId="698" totalsRowDxfId="697">
      <totalsRowFormula>COUNTIF(NovemberAttendance[18],"U")+COUNTIF(NovemberAttendance[18],"E")</totalsRowFormula>
    </tableColumn>
    <tableColumn id="20" name="19" totalsRowFunction="custom" dataDxfId="696" totalsRowDxfId="695">
      <totalsRowFormula>COUNTIF(NovemberAttendance[19],"U")+COUNTIF(NovemberAttendance[19],"E")</totalsRowFormula>
    </tableColumn>
    <tableColumn id="21" name="20" totalsRowFunction="custom" dataDxfId="694" totalsRowDxfId="693">
      <totalsRowFormula>COUNTIF(NovemberAttendance[20],"U")+COUNTIF(NovemberAttendance[20],"E")</totalsRowFormula>
    </tableColumn>
    <tableColumn id="22" name="21" totalsRowFunction="custom" dataDxfId="692" totalsRowDxfId="691">
      <totalsRowFormula>COUNTIF(NovemberAttendance[21],"U")+COUNTIF(NovemberAttendance[21],"E")</totalsRowFormula>
    </tableColumn>
    <tableColumn id="23" name="22" totalsRowFunction="custom" dataDxfId="690" totalsRowDxfId="689">
      <totalsRowFormula>COUNTIF(NovemberAttendance[22],"U")+COUNTIF(NovemberAttendance[22],"E")</totalsRowFormula>
    </tableColumn>
    <tableColumn id="24" name="23" totalsRowFunction="custom" dataDxfId="688" totalsRowDxfId="687">
      <totalsRowFormula>COUNTIF(NovemberAttendance[23],"U")+COUNTIF(NovemberAttendance[23],"E")</totalsRowFormula>
    </tableColumn>
    <tableColumn id="25" name="24" totalsRowFunction="custom" dataDxfId="686" totalsRowDxfId="685">
      <totalsRowFormula>COUNTIF(NovemberAttendance[24],"U")+COUNTIF(NovemberAttendance[24],"E")</totalsRowFormula>
    </tableColumn>
    <tableColumn id="26" name="25" totalsRowFunction="custom" dataDxfId="684" totalsRowDxfId="683">
      <totalsRowFormula>COUNTIF(NovemberAttendance[25],"U")+COUNTIF(NovemberAttendance[25],"E")</totalsRowFormula>
    </tableColumn>
    <tableColumn id="27" name="26" totalsRowFunction="custom" dataDxfId="682" totalsRowDxfId="681">
      <totalsRowFormula>COUNTIF(NovemberAttendance[26],"U")+COUNTIF(NovemberAttendance[26],"E")</totalsRowFormula>
    </tableColumn>
    <tableColumn id="28" name="27" totalsRowFunction="custom" dataDxfId="680" totalsRowDxfId="679">
      <totalsRowFormula>COUNTIF(NovemberAttendance[27],"U")+COUNTIF(NovemberAttendance[27],"E")</totalsRowFormula>
    </tableColumn>
    <tableColumn id="29" name="28" totalsRowFunction="custom" dataDxfId="678" totalsRowDxfId="677">
      <totalsRowFormula>COUNTIF(NovemberAttendance[28],"U")+COUNTIF(NovemberAttendance[28],"E")</totalsRowFormula>
    </tableColumn>
    <tableColumn id="30" name="29" totalsRowFunction="custom" dataDxfId="676" totalsRowDxfId="675">
      <totalsRowFormula>COUNTIF(NovemberAttendance[29],"U")+COUNTIF(NovemberAttendance[29],"E")</totalsRowFormula>
    </tableColumn>
    <tableColumn id="31" name="30" totalsRowFunction="custom" totalsRowDxfId="674">
      <totalsRowFormula>COUNTIF(NovemberAttendance[30],"U")+COUNTIF(NovemberAttendance[30],"E")</totalsRowFormula>
    </tableColumn>
    <tableColumn id="32" name=" " totalsRowFunction="custom" totalsRowDxfId="673">
      <totalsRowFormula>COUNTIF(NovemberAttendance[[ ]],"U")+COUNTIF(NovemberAttendance[[ ]],"E")</totalsRowFormula>
    </tableColumn>
    <tableColumn id="35" name="T" totalsRowFunction="sum" dataDxfId="672" totalsRowDxfId="671">
      <calculatedColumnFormula>COUNTIF(NovemberAttendance[[#This Row],[1]:[ ]],Code1)</calculatedColumnFormula>
    </tableColumn>
    <tableColumn id="34" name="E" totalsRowFunction="sum" dataDxfId="670" totalsRowDxfId="669">
      <calculatedColumnFormula>COUNTIF(NovemberAttendance[[#This Row],[1]:[ ]],Code2)</calculatedColumnFormula>
    </tableColumn>
    <tableColumn id="37" name="U" totalsRowFunction="sum" dataDxfId="668" totalsRowDxfId="667">
      <calculatedColumnFormula>COUNTIF(NovemberAttendance[[#This Row],[1]:[ ]],Code3)</calculatedColumnFormula>
    </tableColumn>
    <tableColumn id="36" name="P" totalsRowFunction="sum" dataDxfId="666" totalsRowDxfId="665">
      <calculatedColumnFormula>COUNTIF(NovemberAttendance[[#This Row],[1]:[ ]],Code4)</calculatedColumnFormula>
    </tableColumn>
    <tableColumn id="33" name="Days Absent" totalsRowFunction="sum" totalsRowDxfId="664">
      <calculatedColumnFormula>SUM(NovemberAttendance[[#This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November."/>
    </ext>
  </extLst>
</table>
</file>

<file path=xl/tables/table6.xml><?xml version="1.0" encoding="utf-8"?>
<table xmlns="http://schemas.openxmlformats.org/spreadsheetml/2006/main" id="6" name="DecemberAttendance" displayName="DecemberAttendance" ref="B6:AM12" totalsRowCount="1">
  <tableColumns count="38">
    <tableColumn id="38" name="Student ID" totalsRowDxfId="653"/>
    <tableColumn id="1" name="Student Name" totalsRowLabel="Total days absent" dataDxfId="652" totalsRowDxfId="651">
      <calculatedColumnFormula>IFERROR(VLOOKUP(DecemberAttendance[[#This Row],[Student ID]],StudentList[],18,FALSE),"")</calculatedColumnFormula>
    </tableColumn>
    <tableColumn id="2" name="1" totalsRowFunction="custom" dataDxfId="650" totalsRowDxfId="649">
      <totalsRowFormula>COUNTIF(DecemberAttendance[1],"U")+COUNTIF(DecemberAttendance[1],"E")</totalsRowFormula>
    </tableColumn>
    <tableColumn id="3" name="2" totalsRowFunction="custom" dataDxfId="648" totalsRowDxfId="647">
      <totalsRowFormula>COUNTIF(DecemberAttendance[2],"U")+COUNTIF(DecemberAttendance[2],"E")</totalsRowFormula>
    </tableColumn>
    <tableColumn id="4" name="3" totalsRowFunction="custom" dataDxfId="646" totalsRowDxfId="645">
      <totalsRowFormula>COUNTIF(DecemberAttendance[3],"U")+COUNTIF(DecemberAttendance[3],"E")</totalsRowFormula>
    </tableColumn>
    <tableColumn id="5" name="4" totalsRowFunction="custom" dataDxfId="644" totalsRowDxfId="643">
      <totalsRowFormula>COUNTIF(DecemberAttendance[4],"U")+COUNTIF(DecemberAttendance[4],"E")</totalsRowFormula>
    </tableColumn>
    <tableColumn id="6" name="5" totalsRowFunction="custom" dataDxfId="642" totalsRowDxfId="641">
      <totalsRowFormula>COUNTIF(DecemberAttendance[5],"U")+COUNTIF(DecemberAttendance[5],"E")</totalsRowFormula>
    </tableColumn>
    <tableColumn id="7" name="6" totalsRowFunction="custom" dataDxfId="640" totalsRowDxfId="639">
      <totalsRowFormula>COUNTIF(DecemberAttendance[6],"U")+COUNTIF(DecemberAttendance[6],"E")</totalsRowFormula>
    </tableColumn>
    <tableColumn id="8" name="7" totalsRowFunction="custom" dataDxfId="638" totalsRowDxfId="637">
      <totalsRowFormula>COUNTIF(DecemberAttendance[7],"U")+COUNTIF(DecemberAttendance[7],"E")</totalsRowFormula>
    </tableColumn>
    <tableColumn id="9" name="8" totalsRowFunction="custom" dataDxfId="636" totalsRowDxfId="635">
      <totalsRowFormula>COUNTIF(DecemberAttendance[8],"U")+COUNTIF(DecemberAttendance[8],"E")</totalsRowFormula>
    </tableColumn>
    <tableColumn id="10" name="9" totalsRowFunction="custom" dataDxfId="634" totalsRowDxfId="633">
      <totalsRowFormula>COUNTIF(DecemberAttendance[9],"U")+COUNTIF(DecemberAttendance[9],"E")</totalsRowFormula>
    </tableColumn>
    <tableColumn id="11" name="10" totalsRowFunction="custom" dataDxfId="632" totalsRowDxfId="631">
      <totalsRowFormula>COUNTIF(DecemberAttendance[10],"U")+COUNTIF(DecemberAttendance[10],"E")</totalsRowFormula>
    </tableColumn>
    <tableColumn id="12" name="11" totalsRowFunction="custom" dataDxfId="630" totalsRowDxfId="629">
      <totalsRowFormula>COUNTIF(DecemberAttendance[11],"U")+COUNTIF(DecemberAttendance[11],"E")</totalsRowFormula>
    </tableColumn>
    <tableColumn id="13" name="12" totalsRowFunction="custom" dataDxfId="628" totalsRowDxfId="627">
      <totalsRowFormula>COUNTIF(DecemberAttendance[12],"U")+COUNTIF(DecemberAttendance[12],"E")</totalsRowFormula>
    </tableColumn>
    <tableColumn id="14" name="13" totalsRowFunction="custom" dataDxfId="626" totalsRowDxfId="625">
      <totalsRowFormula>COUNTIF(DecemberAttendance[13],"U")+COUNTIF(DecemberAttendance[13],"E")</totalsRowFormula>
    </tableColumn>
    <tableColumn id="15" name="14" totalsRowFunction="custom" dataDxfId="624" totalsRowDxfId="623">
      <totalsRowFormula>COUNTIF(DecemberAttendance[14],"U")+COUNTIF(DecemberAttendance[14],"E")</totalsRowFormula>
    </tableColumn>
    <tableColumn id="16" name="15" totalsRowFunction="custom" dataDxfId="622" totalsRowDxfId="621">
      <totalsRowFormula>COUNTIF(DecemberAttendance[15],"U")+COUNTIF(DecemberAttendance[15],"E")</totalsRowFormula>
    </tableColumn>
    <tableColumn id="17" name="16" totalsRowFunction="custom" dataDxfId="620" totalsRowDxfId="619">
      <totalsRowFormula>COUNTIF(DecemberAttendance[16],"U")+COUNTIF(DecemberAttendance[16],"E")</totalsRowFormula>
    </tableColumn>
    <tableColumn id="18" name="17" totalsRowFunction="custom" dataDxfId="618" totalsRowDxfId="617">
      <totalsRowFormula>COUNTIF(DecemberAttendance[17],"U")+COUNTIF(DecemberAttendance[17],"E")</totalsRowFormula>
    </tableColumn>
    <tableColumn id="19" name="18" totalsRowFunction="custom" dataDxfId="616" totalsRowDxfId="615">
      <totalsRowFormula>COUNTIF(DecemberAttendance[18],"U")+COUNTIF(DecemberAttendance[18],"E")</totalsRowFormula>
    </tableColumn>
    <tableColumn id="20" name="19" totalsRowFunction="custom" dataDxfId="614" totalsRowDxfId="613">
      <totalsRowFormula>COUNTIF(DecemberAttendance[19],"U")+COUNTIF(DecemberAttendance[19],"E")</totalsRowFormula>
    </tableColumn>
    <tableColumn id="21" name="20" totalsRowFunction="custom" dataDxfId="612" totalsRowDxfId="611">
      <totalsRowFormula>COUNTIF(DecemberAttendance[20],"U")+COUNTIF(DecemberAttendance[20],"E")</totalsRowFormula>
    </tableColumn>
    <tableColumn id="22" name="21" totalsRowFunction="custom" dataDxfId="610" totalsRowDxfId="609">
      <totalsRowFormula>COUNTIF(DecemberAttendance[21],"U")+COUNTIF(DecemberAttendance[21],"E")</totalsRowFormula>
    </tableColumn>
    <tableColumn id="23" name="22" totalsRowFunction="custom" dataDxfId="608" totalsRowDxfId="607">
      <totalsRowFormula>COUNTIF(DecemberAttendance[22],"U")+COUNTIF(DecemberAttendance[22],"E")</totalsRowFormula>
    </tableColumn>
    <tableColumn id="24" name="23" totalsRowFunction="custom" dataDxfId="606" totalsRowDxfId="605">
      <totalsRowFormula>COUNTIF(DecemberAttendance[23],"U")+COUNTIF(DecemberAttendance[23],"E")</totalsRowFormula>
    </tableColumn>
    <tableColumn id="25" name="24" totalsRowFunction="custom" dataDxfId="604" totalsRowDxfId="603">
      <totalsRowFormula>COUNTIF(DecemberAttendance[24],"U")+COUNTIF(DecemberAttendance[24],"E")</totalsRowFormula>
    </tableColumn>
    <tableColumn id="26" name="25" totalsRowFunction="custom" dataDxfId="602" totalsRowDxfId="601">
      <totalsRowFormula>COUNTIF(DecemberAttendance[25],"U")+COUNTIF(DecemberAttendance[25],"E")</totalsRowFormula>
    </tableColumn>
    <tableColumn id="27" name="26" totalsRowFunction="custom" dataDxfId="600" totalsRowDxfId="599">
      <totalsRowFormula>COUNTIF(DecemberAttendance[26],"U")+COUNTIF(DecemberAttendance[26],"E")</totalsRowFormula>
    </tableColumn>
    <tableColumn id="28" name="27" totalsRowFunction="custom" dataDxfId="598" totalsRowDxfId="597">
      <totalsRowFormula>COUNTIF(DecemberAttendance[27],"U")+COUNTIF(DecemberAttendance[27],"E")</totalsRowFormula>
    </tableColumn>
    <tableColumn id="29" name="28" totalsRowFunction="custom" dataDxfId="596" totalsRowDxfId="595">
      <totalsRowFormula>COUNTIF(DecemberAttendance[28],"U")+COUNTIF(DecemberAttendance[28],"E")</totalsRowFormula>
    </tableColumn>
    <tableColumn id="30" name="29" totalsRowFunction="custom" dataDxfId="594" totalsRowDxfId="593">
      <totalsRowFormula>COUNTIF(DecemberAttendance[29],"U")+COUNTIF(DecemberAttendance[29],"E")</totalsRowFormula>
    </tableColumn>
    <tableColumn id="31" name="30" totalsRowFunction="custom" totalsRowDxfId="592">
      <totalsRowFormula>COUNTIF(DecemberAttendance[30],"U")+COUNTIF(DecemberAttendance[30],"E")</totalsRowFormula>
    </tableColumn>
    <tableColumn id="32" name="31" totalsRowFunction="custom" totalsRowDxfId="591">
      <totalsRowFormula>COUNTIF(DecemberAttendance[31],"U")+COUNTIF(DecemberAttendance[31],"E")</totalsRowFormula>
    </tableColumn>
    <tableColumn id="35" name="T" totalsRowFunction="sum" dataDxfId="590" totalsRowDxfId="589">
      <calculatedColumnFormula>COUNTIF(DecemberAttendance[[#This Row],[1]:[31]],Code1)</calculatedColumnFormula>
    </tableColumn>
    <tableColumn id="34" name="E" totalsRowFunction="sum" dataDxfId="588" totalsRowDxfId="587">
      <calculatedColumnFormula>COUNTIF(DecemberAttendance[[#This Row],[1]:[31]],Code2)</calculatedColumnFormula>
    </tableColumn>
    <tableColumn id="37" name="U" totalsRowFunction="sum" dataDxfId="586" totalsRowDxfId="585">
      <calculatedColumnFormula>COUNTIF(DecemberAttendance[[#This Row],[1]:[31]],Code3)</calculatedColumnFormula>
    </tableColumn>
    <tableColumn id="36" name="P" totalsRowFunction="sum" dataDxfId="584" totalsRowDxfId="583">
      <calculatedColumnFormula>COUNTIF(DecemberAttendance[[#This Row],[1]:[31]],Code4)</calculatedColumnFormula>
    </tableColumn>
    <tableColumn id="33" name="Days Absent" totalsRowFunction="sum" totalsRowDxfId="582">
      <calculatedColumnFormula>SUM(DecemberAttendance[[#This Row],[E]:[U]])</calculatedColumnFormula>
    </tableColumn>
  </tableColumns>
  <tableStyleInfo name="Employee Absence Table" showFirstColumn="0" showLastColumn="1" showRowStripes="1" showColumnStripes="1"/>
</table>
</file>

<file path=xl/tables/table7.xml><?xml version="1.0" encoding="utf-8"?>
<table xmlns="http://schemas.openxmlformats.org/spreadsheetml/2006/main" id="7" name="JanuaryAttendance" displayName="JanuaryAttendance" ref="B6:AM12" totalsRowCount="1" headerRowDxfId="576">
  <tableColumns count="38">
    <tableColumn id="38" name="Student ID" dataDxfId="575" totalsRowDxfId="574"/>
    <tableColumn id="1" name="Student Name" totalsRowLabel="Total days absent" dataDxfId="573" totalsRowDxfId="572">
      <calculatedColumnFormula>IFERROR(VLOOKUP(JanuaryAttendance[[#This Row],[Student ID]],StudentList[],18,FALSE),"")</calculatedColumnFormula>
    </tableColumn>
    <tableColumn id="2" name="1" totalsRowFunction="custom" dataDxfId="571" totalsRowDxfId="570">
      <totalsRowFormula>COUNTIF(JanuaryAttendance[1],"U")+COUNTIF(JanuaryAttendance[1],"E")</totalsRowFormula>
    </tableColumn>
    <tableColumn id="3" name="2" totalsRowFunction="custom" dataDxfId="569" totalsRowDxfId="568">
      <totalsRowFormula>COUNTIF(JanuaryAttendance[2],"U")+COUNTIF(JanuaryAttendance[2],"E")</totalsRowFormula>
    </tableColumn>
    <tableColumn id="4" name="3" totalsRowFunction="custom" dataDxfId="567" totalsRowDxfId="566">
      <totalsRowFormula>COUNTIF(JanuaryAttendance[3],"U")+COUNTIF(JanuaryAttendance[3],"E")</totalsRowFormula>
    </tableColumn>
    <tableColumn id="5" name="4" totalsRowFunction="custom" dataDxfId="565" totalsRowDxfId="564">
      <totalsRowFormula>COUNTIF(JanuaryAttendance[4],"U")+COUNTIF(JanuaryAttendance[4],"E")</totalsRowFormula>
    </tableColumn>
    <tableColumn id="6" name="5" totalsRowFunction="custom" dataDxfId="563" totalsRowDxfId="562">
      <totalsRowFormula>COUNTIF(JanuaryAttendance[5],"U")+COUNTIF(JanuaryAttendance[5],"E")</totalsRowFormula>
    </tableColumn>
    <tableColumn id="7" name="6" totalsRowFunction="custom" dataDxfId="561" totalsRowDxfId="560">
      <totalsRowFormula>COUNTIF(JanuaryAttendance[6],"U")+COUNTIF(JanuaryAttendance[6],"E")</totalsRowFormula>
    </tableColumn>
    <tableColumn id="8" name="7" totalsRowFunction="custom" dataDxfId="559" totalsRowDxfId="558">
      <totalsRowFormula>COUNTIF(JanuaryAttendance[7],"U")+COUNTIF(JanuaryAttendance[7],"E")</totalsRowFormula>
    </tableColumn>
    <tableColumn id="9" name="8" totalsRowFunction="custom" dataDxfId="557" totalsRowDxfId="556">
      <totalsRowFormula>COUNTIF(JanuaryAttendance[8],"U")+COUNTIF(JanuaryAttendance[8],"E")</totalsRowFormula>
    </tableColumn>
    <tableColumn id="10" name="9" totalsRowFunction="custom" dataDxfId="555" totalsRowDxfId="554">
      <totalsRowFormula>COUNTIF(JanuaryAttendance[9],"U")+COUNTIF(JanuaryAttendance[9],"E")</totalsRowFormula>
    </tableColumn>
    <tableColumn id="11" name="10" totalsRowFunction="custom" dataDxfId="553" totalsRowDxfId="552">
      <totalsRowFormula>COUNTIF(JanuaryAttendance[10],"U")+COUNTIF(JanuaryAttendance[10],"E")</totalsRowFormula>
    </tableColumn>
    <tableColumn id="12" name="11" totalsRowFunction="custom" dataDxfId="551" totalsRowDxfId="550">
      <totalsRowFormula>COUNTIF(JanuaryAttendance[11],"U")+COUNTIF(JanuaryAttendance[11],"E")</totalsRowFormula>
    </tableColumn>
    <tableColumn id="13" name="12" totalsRowFunction="custom" dataDxfId="549" totalsRowDxfId="548">
      <totalsRowFormula>COUNTIF(JanuaryAttendance[12],"U")+COUNTIF(JanuaryAttendance[12],"E")</totalsRowFormula>
    </tableColumn>
    <tableColumn id="14" name="13" totalsRowFunction="custom" dataDxfId="547" totalsRowDxfId="546">
      <totalsRowFormula>COUNTIF(JanuaryAttendance[13],"U")+COUNTIF(JanuaryAttendance[13],"E")</totalsRowFormula>
    </tableColumn>
    <tableColumn id="15" name="14" totalsRowFunction="custom" dataDxfId="545" totalsRowDxfId="544">
      <totalsRowFormula>COUNTIF(JanuaryAttendance[14],"U")+COUNTIF(JanuaryAttendance[14],"E")</totalsRowFormula>
    </tableColumn>
    <tableColumn id="16" name="15" totalsRowFunction="custom" dataDxfId="543" totalsRowDxfId="542">
      <totalsRowFormula>COUNTIF(JanuaryAttendance[15],"U")+COUNTIF(JanuaryAttendance[15],"E")</totalsRowFormula>
    </tableColumn>
    <tableColumn id="17" name="16" totalsRowFunction="custom" dataDxfId="541" totalsRowDxfId="540">
      <totalsRowFormula>COUNTIF(JanuaryAttendance[16],"U")+COUNTIF(JanuaryAttendance[16],"E")</totalsRowFormula>
    </tableColumn>
    <tableColumn id="18" name="17" totalsRowFunction="custom" dataDxfId="539" totalsRowDxfId="538">
      <totalsRowFormula>COUNTIF(JanuaryAttendance[17],"U")+COUNTIF(JanuaryAttendance[17],"E")</totalsRowFormula>
    </tableColumn>
    <tableColumn id="19" name="18" totalsRowFunction="custom" dataDxfId="537" totalsRowDxfId="536">
      <totalsRowFormula>COUNTIF(JanuaryAttendance[18],"U")+COUNTIF(JanuaryAttendance[18],"E")</totalsRowFormula>
    </tableColumn>
    <tableColumn id="20" name="19" totalsRowFunction="custom" dataDxfId="535" totalsRowDxfId="534">
      <totalsRowFormula>COUNTIF(JanuaryAttendance[19],"U")+COUNTIF(JanuaryAttendance[19],"E")</totalsRowFormula>
    </tableColumn>
    <tableColumn id="21" name="20" totalsRowFunction="custom" dataDxfId="533" totalsRowDxfId="532">
      <totalsRowFormula>COUNTIF(JanuaryAttendance[20],"U")+COUNTIF(JanuaryAttendance[20],"E")</totalsRowFormula>
    </tableColumn>
    <tableColumn id="22" name="21" totalsRowFunction="custom" dataDxfId="531" totalsRowDxfId="530">
      <totalsRowFormula>COUNTIF(JanuaryAttendance[21],"U")+COUNTIF(JanuaryAttendance[21],"E")</totalsRowFormula>
    </tableColumn>
    <tableColumn id="23" name="22" totalsRowFunction="custom" dataDxfId="529" totalsRowDxfId="528">
      <totalsRowFormula>COUNTIF(JanuaryAttendance[22],"U")+COUNTIF(JanuaryAttendance[22],"E")</totalsRowFormula>
    </tableColumn>
    <tableColumn id="24" name="23" totalsRowFunction="custom" dataDxfId="527" totalsRowDxfId="526">
      <totalsRowFormula>COUNTIF(JanuaryAttendance[23],"U")+COUNTIF(JanuaryAttendance[23],"E")</totalsRowFormula>
    </tableColumn>
    <tableColumn id="25" name="24" totalsRowFunction="custom" dataDxfId="525" totalsRowDxfId="524">
      <totalsRowFormula>COUNTIF(JanuaryAttendance[24],"U")+COUNTIF(JanuaryAttendance[24],"E")</totalsRowFormula>
    </tableColumn>
    <tableColumn id="26" name="25" totalsRowFunction="custom" dataDxfId="523" totalsRowDxfId="522">
      <totalsRowFormula>COUNTIF(JanuaryAttendance[25],"U")+COUNTIF(JanuaryAttendance[25],"E")</totalsRowFormula>
    </tableColumn>
    <tableColumn id="27" name="26" totalsRowFunction="custom" dataDxfId="521" totalsRowDxfId="520">
      <totalsRowFormula>COUNTIF(JanuaryAttendance[26],"U")+COUNTIF(JanuaryAttendance[26],"E")</totalsRowFormula>
    </tableColumn>
    <tableColumn id="28" name="27" totalsRowFunction="custom" dataDxfId="519" totalsRowDxfId="518">
      <totalsRowFormula>COUNTIF(JanuaryAttendance[27],"U")+COUNTIF(JanuaryAttendance[27],"E")</totalsRowFormula>
    </tableColumn>
    <tableColumn id="29" name="28" totalsRowFunction="custom" dataDxfId="517" totalsRowDxfId="516">
      <totalsRowFormula>COUNTIF(JanuaryAttendance[28],"U")+COUNTIF(JanuaryAttendance[28],"E")</totalsRowFormula>
    </tableColumn>
    <tableColumn id="30" name="29" totalsRowFunction="custom" dataDxfId="515" totalsRowDxfId="514">
      <totalsRowFormula>COUNTIF(JanuaryAttendance[29],"U")+COUNTIF(JanuaryAttendance[29],"E")</totalsRowFormula>
    </tableColumn>
    <tableColumn id="31" name="30" dataDxfId="513" totalsRowDxfId="512"/>
    <tableColumn id="32" name="31" dataDxfId="511" totalsRowDxfId="510"/>
    <tableColumn id="35" name="T" totalsRowFunction="sum" dataDxfId="509" totalsRowDxfId="508">
      <calculatedColumnFormula>COUNTIF(JanuaryAttendance[[#This Row],[1]:[31]],Code1)</calculatedColumnFormula>
    </tableColumn>
    <tableColumn id="34" name="E" totalsRowFunction="sum" dataDxfId="507" totalsRowDxfId="506">
      <calculatedColumnFormula>COUNTIF(JanuaryAttendance[[#This Row],[1]:[31]],Code2)</calculatedColumnFormula>
    </tableColumn>
    <tableColumn id="37" name="U" totalsRowFunction="sum" dataDxfId="505" totalsRowDxfId="504">
      <calculatedColumnFormula>COUNTIF(JanuaryAttendance[[#This Row],[1]:[31]],Code3)</calculatedColumnFormula>
    </tableColumn>
    <tableColumn id="36" name="P" totalsRowFunction="sum" dataDxfId="503" totalsRowDxfId="502">
      <calculatedColumnFormula>COUNTIF(JanuaryAttendance[[#This Row],[1]:[31]],Code4)</calculatedColumnFormula>
    </tableColumn>
    <tableColumn id="33" name="Days Absent" totalsRowFunction="sum" dataDxfId="501" totalsRowDxfId="500">
      <calculatedColumnFormula>SUM(JanuaryAttendance[[#This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anuary."/>
    </ext>
  </extLst>
</table>
</file>

<file path=xl/tables/table8.xml><?xml version="1.0" encoding="utf-8"?>
<table xmlns="http://schemas.openxmlformats.org/spreadsheetml/2006/main" id="5" name="FebruaryAttendance" displayName="FebruaryAttendance" ref="B6:AM12" totalsRowCount="1" headerRowDxfId="492">
  <tableColumns count="38">
    <tableColumn id="38" name="Student ID" dataDxfId="491" totalsRowDxfId="490"/>
    <tableColumn id="1" name="Student Name" totalsRowLabel="Total days absent" dataDxfId="489" totalsRowDxfId="488">
      <calculatedColumnFormula>IFERROR(VLOOKUP(FebruaryAttendance[[#This Row],[Student ID]],StudentList[],18,FALSE),"")</calculatedColumnFormula>
    </tableColumn>
    <tableColumn id="2" name="1" totalsRowFunction="custom" dataDxfId="487" totalsRowDxfId="486">
      <totalsRowFormula>COUNTIF(FebruaryAttendance[1],"U")+COUNTIF(FebruaryAttendance[1],"E")</totalsRowFormula>
    </tableColumn>
    <tableColumn id="3" name="2" totalsRowFunction="custom" dataDxfId="485" totalsRowDxfId="484">
      <totalsRowFormula>COUNTIF(FebruaryAttendance[2],"U")+COUNTIF(FebruaryAttendance[2],"E")</totalsRowFormula>
    </tableColumn>
    <tableColumn id="4" name="3" totalsRowFunction="custom" dataDxfId="483" totalsRowDxfId="482">
      <totalsRowFormula>COUNTIF(FebruaryAttendance[3],"U")+COUNTIF(FebruaryAttendance[3],"E")</totalsRowFormula>
    </tableColumn>
    <tableColumn id="5" name="4" totalsRowFunction="custom" dataDxfId="481" totalsRowDxfId="480">
      <totalsRowFormula>COUNTIF(FebruaryAttendance[4],"U")+COUNTIF(FebruaryAttendance[4],"E")</totalsRowFormula>
    </tableColumn>
    <tableColumn id="6" name="5" totalsRowFunction="custom" dataDxfId="479" totalsRowDxfId="478">
      <totalsRowFormula>COUNTIF(FebruaryAttendance[5],"U")+COUNTIF(FebruaryAttendance[5],"E")</totalsRowFormula>
    </tableColumn>
    <tableColumn id="7" name="6" totalsRowFunction="custom" dataDxfId="477" totalsRowDxfId="476">
      <totalsRowFormula>COUNTIF(FebruaryAttendance[6],"U")+COUNTIF(FebruaryAttendance[6],"E")</totalsRowFormula>
    </tableColumn>
    <tableColumn id="8" name="7" totalsRowFunction="custom" dataDxfId="475" totalsRowDxfId="474">
      <totalsRowFormula>COUNTIF(FebruaryAttendance[7],"U")+COUNTIF(FebruaryAttendance[7],"E")</totalsRowFormula>
    </tableColumn>
    <tableColumn id="9" name="8" totalsRowFunction="custom" dataDxfId="473" totalsRowDxfId="472">
      <totalsRowFormula>COUNTIF(FebruaryAttendance[8],"U")+COUNTIF(FebruaryAttendance[8],"E")</totalsRowFormula>
    </tableColumn>
    <tableColumn id="10" name="9" totalsRowFunction="custom" dataDxfId="471" totalsRowDxfId="470">
      <totalsRowFormula>COUNTIF(FebruaryAttendance[9],"U")+COUNTIF(FebruaryAttendance[9],"E")</totalsRowFormula>
    </tableColumn>
    <tableColumn id="11" name="10" totalsRowFunction="custom" dataDxfId="469" totalsRowDxfId="468">
      <totalsRowFormula>COUNTIF(FebruaryAttendance[10],"U")+COUNTIF(FebruaryAttendance[10],"E")</totalsRowFormula>
    </tableColumn>
    <tableColumn id="12" name="11" totalsRowFunction="custom" dataDxfId="467" totalsRowDxfId="466">
      <totalsRowFormula>COUNTIF(FebruaryAttendance[11],"U")+COUNTIF(FebruaryAttendance[11],"E")</totalsRowFormula>
    </tableColumn>
    <tableColumn id="13" name="12" totalsRowFunction="custom" dataDxfId="465" totalsRowDxfId="464">
      <totalsRowFormula>COUNTIF(FebruaryAttendance[12],"U")+COUNTIF(FebruaryAttendance[12],"E")</totalsRowFormula>
    </tableColumn>
    <tableColumn id="14" name="13" totalsRowFunction="custom" dataDxfId="463" totalsRowDxfId="462">
      <totalsRowFormula>COUNTIF(FebruaryAttendance[13],"U")+COUNTIF(FebruaryAttendance[13],"E")</totalsRowFormula>
    </tableColumn>
    <tableColumn id="15" name="14" totalsRowFunction="custom" dataDxfId="461" totalsRowDxfId="460">
      <totalsRowFormula>COUNTIF(FebruaryAttendance[14],"U")+COUNTIF(FebruaryAttendance[14],"E")</totalsRowFormula>
    </tableColumn>
    <tableColumn id="16" name="15" totalsRowFunction="custom" dataDxfId="459" totalsRowDxfId="458">
      <totalsRowFormula>COUNTIF(FebruaryAttendance[15],"U")+COUNTIF(FebruaryAttendance[15],"E")</totalsRowFormula>
    </tableColumn>
    <tableColumn id="17" name="16" totalsRowFunction="custom" dataDxfId="457" totalsRowDxfId="456">
      <totalsRowFormula>COUNTIF(FebruaryAttendance[16],"U")+COUNTIF(FebruaryAttendance[16],"E")</totalsRowFormula>
    </tableColumn>
    <tableColumn id="18" name="17" totalsRowFunction="custom" dataDxfId="455" totalsRowDxfId="454">
      <totalsRowFormula>COUNTIF(FebruaryAttendance[17],"U")+COUNTIF(FebruaryAttendance[17],"E")</totalsRowFormula>
    </tableColumn>
    <tableColumn id="19" name="18" totalsRowFunction="custom" dataDxfId="453" totalsRowDxfId="452">
      <totalsRowFormula>COUNTIF(FebruaryAttendance[18],"U")+COUNTIF(FebruaryAttendance[18],"E")</totalsRowFormula>
    </tableColumn>
    <tableColumn id="20" name="19" totalsRowFunction="custom" dataDxfId="451" totalsRowDxfId="450">
      <totalsRowFormula>COUNTIF(FebruaryAttendance[19],"U")+COUNTIF(FebruaryAttendance[19],"E")</totalsRowFormula>
    </tableColumn>
    <tableColumn id="21" name="20" totalsRowFunction="custom" dataDxfId="449" totalsRowDxfId="448">
      <totalsRowFormula>COUNTIF(FebruaryAttendance[20],"U")+COUNTIF(FebruaryAttendance[20],"E")</totalsRowFormula>
    </tableColumn>
    <tableColumn id="22" name="21" totalsRowFunction="custom" dataDxfId="447" totalsRowDxfId="446">
      <totalsRowFormula>COUNTIF(FebruaryAttendance[21],"U")+COUNTIF(FebruaryAttendance[21],"E")</totalsRowFormula>
    </tableColumn>
    <tableColumn id="23" name="22" totalsRowFunction="custom" dataDxfId="445" totalsRowDxfId="444">
      <totalsRowFormula>COUNTIF(FebruaryAttendance[22],"U")+COUNTIF(FebruaryAttendance[22],"E")</totalsRowFormula>
    </tableColumn>
    <tableColumn id="24" name="23" totalsRowFunction="custom" dataDxfId="443" totalsRowDxfId="442">
      <totalsRowFormula>COUNTIF(FebruaryAttendance[23],"U")+COUNTIF(FebruaryAttendance[23],"E")</totalsRowFormula>
    </tableColumn>
    <tableColumn id="25" name="24" totalsRowFunction="custom" dataDxfId="441" totalsRowDxfId="440">
      <totalsRowFormula>COUNTIF(FebruaryAttendance[24],"U")+COUNTIF(FebruaryAttendance[24],"E")</totalsRowFormula>
    </tableColumn>
    <tableColumn id="26" name="25" totalsRowFunction="custom" dataDxfId="439" totalsRowDxfId="438">
      <totalsRowFormula>COUNTIF(FebruaryAttendance[25],"U")+COUNTIF(FebruaryAttendance[25],"E")</totalsRowFormula>
    </tableColumn>
    <tableColumn id="27" name="26" totalsRowFunction="custom" dataDxfId="437" totalsRowDxfId="436">
      <totalsRowFormula>COUNTIF(FebruaryAttendance[26],"U")+COUNTIF(FebruaryAttendance[26],"E")</totalsRowFormula>
    </tableColumn>
    <tableColumn id="28" name="27" totalsRowFunction="custom" dataDxfId="435" totalsRowDxfId="434">
      <totalsRowFormula>COUNTIF(FebruaryAttendance[27],"U")+COUNTIF(FebruaryAttendance[27],"E")</totalsRowFormula>
    </tableColumn>
    <tableColumn id="29" name="28" totalsRowFunction="custom" dataDxfId="433" totalsRowDxfId="432">
      <totalsRowFormula>COUNTIF(FebruaryAttendance[28],"U")+COUNTIF(FebruaryAttendance[28],"E")</totalsRowFormula>
    </tableColumn>
    <tableColumn id="30" name="29" totalsRowFunction="custom" dataDxfId="431" totalsRowDxfId="430">
      <totalsRowFormula>COUNTIF(FebruaryAttendance[29],"U")+COUNTIF(FebruaryAttendance[29],"E")</totalsRowFormula>
    </tableColumn>
    <tableColumn id="31" name="30" dataDxfId="429" totalsRowDxfId="428"/>
    <tableColumn id="32" name="31" dataDxfId="427" totalsRowDxfId="426"/>
    <tableColumn id="35" name="T" totalsRowFunction="sum" dataDxfId="425" totalsRowDxfId="424">
      <calculatedColumnFormula>COUNTIF(FebruaryAttendance[[#This Row],[1]:[31]],Code1)</calculatedColumnFormula>
    </tableColumn>
    <tableColumn id="34" name="E" totalsRowFunction="sum" dataDxfId="423" totalsRowDxfId="422">
      <calculatedColumnFormula>COUNTIF(FebruaryAttendance[[#This Row],[1]:[31]],Code2)</calculatedColumnFormula>
    </tableColumn>
    <tableColumn id="37" name="U" totalsRowFunction="sum" dataDxfId="421" totalsRowDxfId="420">
      <calculatedColumnFormula>COUNTIF(FebruaryAttendance[[#This Row],[1]:[31]],Code3)</calculatedColumnFormula>
    </tableColumn>
    <tableColumn id="36" name="P" totalsRowFunction="sum" dataDxfId="419" totalsRowDxfId="418">
      <calculatedColumnFormula>COUNTIF(FebruaryAttendance[[#This Row],[1]:[31]],Code4)</calculatedColumnFormula>
    </tableColumn>
    <tableColumn id="33" name="Days Absent" totalsRowFunction="sum" dataDxfId="417" totalsRowDxfId="416">
      <calculatedColumnFormula>SUM(FebruaryAttendance[[#This Row],[E]:[U]])</calculatedColumnFormula>
    </tableColumn>
  </tableColumns>
  <tableStyleInfo name="Employee Absence Table" showFirstColumn="0" showLastColumn="0" showRowStripes="1" showColumnStripes="1"/>
</table>
</file>

<file path=xl/tables/table9.xml><?xml version="1.0" encoding="utf-8"?>
<table xmlns="http://schemas.openxmlformats.org/spreadsheetml/2006/main" id="8" name="MarchAttendance" displayName="MarchAttendance" ref="B6:AM12" totalsRowCount="1" headerRowDxfId="410">
  <tableColumns count="38">
    <tableColumn id="38" name="Student ID" dataDxfId="409" totalsRowDxfId="408"/>
    <tableColumn id="1" name="Student Name" totalsRowLabel="Total days absent" dataDxfId="407" totalsRowDxfId="406">
      <calculatedColumnFormula>IFERROR(VLOOKUP(MarchAttendance[[#This Row],[Student ID]],StudentList[],18,FALSE),"")</calculatedColumnFormula>
    </tableColumn>
    <tableColumn id="2" name="1" totalsRowFunction="custom" dataDxfId="405" totalsRowDxfId="404">
      <totalsRowFormula>COUNTIF(MarchAttendance[1],"U")+COUNTIF(MarchAttendance[1],"E")</totalsRowFormula>
    </tableColumn>
    <tableColumn id="3" name="2" totalsRowFunction="custom" dataDxfId="403" totalsRowDxfId="402">
      <totalsRowFormula>COUNTIF(MarchAttendance[2],"U")+COUNTIF(MarchAttendance[2],"E")</totalsRowFormula>
    </tableColumn>
    <tableColumn id="4" name="3" totalsRowFunction="custom" dataDxfId="401" totalsRowDxfId="400">
      <totalsRowFormula>COUNTIF(MarchAttendance[3],"U")+COUNTIF(MarchAttendance[3],"E")</totalsRowFormula>
    </tableColumn>
    <tableColumn id="5" name="4" totalsRowFunction="custom" dataDxfId="399" totalsRowDxfId="398">
      <totalsRowFormula>COUNTIF(MarchAttendance[4],"U")+COUNTIF(MarchAttendance[4],"E")</totalsRowFormula>
    </tableColumn>
    <tableColumn id="6" name="5" totalsRowFunction="custom" dataDxfId="397" totalsRowDxfId="396">
      <totalsRowFormula>COUNTIF(MarchAttendance[5],"U")+COUNTIF(MarchAttendance[5],"E")</totalsRowFormula>
    </tableColumn>
    <tableColumn id="7" name="6" totalsRowFunction="custom" dataDxfId="395" totalsRowDxfId="394">
      <totalsRowFormula>COUNTIF(MarchAttendance[6],"U")+COUNTIF(MarchAttendance[6],"E")</totalsRowFormula>
    </tableColumn>
    <tableColumn id="8" name="7" totalsRowFunction="custom" dataDxfId="393" totalsRowDxfId="392">
      <totalsRowFormula>COUNTIF(MarchAttendance[7],"U")+COUNTIF(MarchAttendance[7],"E")</totalsRowFormula>
    </tableColumn>
    <tableColumn id="9" name="8" totalsRowFunction="custom" dataDxfId="391" totalsRowDxfId="390">
      <totalsRowFormula>COUNTIF(MarchAttendance[8],"U")+COUNTIF(MarchAttendance[8],"E")</totalsRowFormula>
    </tableColumn>
    <tableColumn id="10" name="9" totalsRowFunction="custom" dataDxfId="389" totalsRowDxfId="388">
      <totalsRowFormula>COUNTIF(MarchAttendance[9],"U")+COUNTIF(MarchAttendance[9],"E")</totalsRowFormula>
    </tableColumn>
    <tableColumn id="11" name="10" totalsRowFunction="custom" dataDxfId="387" totalsRowDxfId="386">
      <totalsRowFormula>COUNTIF(MarchAttendance[10],"U")+COUNTIF(MarchAttendance[10],"E")</totalsRowFormula>
    </tableColumn>
    <tableColumn id="12" name="11" totalsRowFunction="custom" dataDxfId="385" totalsRowDxfId="384">
      <totalsRowFormula>COUNTIF(MarchAttendance[11],"U")+COUNTIF(MarchAttendance[11],"E")</totalsRowFormula>
    </tableColumn>
    <tableColumn id="13" name="12" totalsRowFunction="custom" dataDxfId="383" totalsRowDxfId="382">
      <totalsRowFormula>COUNTIF(MarchAttendance[12],"U")+COUNTIF(MarchAttendance[12],"E")</totalsRowFormula>
    </tableColumn>
    <tableColumn id="14" name="13" totalsRowFunction="custom" dataDxfId="381" totalsRowDxfId="380">
      <totalsRowFormula>COUNTIF(MarchAttendance[13],"U")+COUNTIF(MarchAttendance[13],"E")</totalsRowFormula>
    </tableColumn>
    <tableColumn id="15" name="14" totalsRowFunction="custom" dataDxfId="379" totalsRowDxfId="378">
      <totalsRowFormula>COUNTIF(MarchAttendance[14],"U")+COUNTIF(MarchAttendance[14],"E")</totalsRowFormula>
    </tableColumn>
    <tableColumn id="16" name="15" totalsRowFunction="custom" dataDxfId="377" totalsRowDxfId="376">
      <totalsRowFormula>COUNTIF(MarchAttendance[15],"U")+COUNTIF(MarchAttendance[15],"E")</totalsRowFormula>
    </tableColumn>
    <tableColumn id="17" name="16" totalsRowFunction="custom" dataDxfId="375" totalsRowDxfId="374">
      <totalsRowFormula>COUNTIF(MarchAttendance[16],"U")+COUNTIF(MarchAttendance[16],"E")</totalsRowFormula>
    </tableColumn>
    <tableColumn id="18" name="17" totalsRowFunction="custom" dataDxfId="373" totalsRowDxfId="372">
      <totalsRowFormula>COUNTIF(MarchAttendance[17],"U")+COUNTIF(MarchAttendance[17],"E")</totalsRowFormula>
    </tableColumn>
    <tableColumn id="19" name="18" totalsRowFunction="custom" dataDxfId="371" totalsRowDxfId="370">
      <totalsRowFormula>COUNTIF(MarchAttendance[18],"U")+COUNTIF(MarchAttendance[18],"E")</totalsRowFormula>
    </tableColumn>
    <tableColumn id="20" name="19" totalsRowFunction="custom" dataDxfId="369" totalsRowDxfId="368">
      <totalsRowFormula>COUNTIF(MarchAttendance[19],"U")+COUNTIF(MarchAttendance[19],"E")</totalsRowFormula>
    </tableColumn>
    <tableColumn id="21" name="20" totalsRowFunction="custom" dataDxfId="367" totalsRowDxfId="366">
      <totalsRowFormula>COUNTIF(MarchAttendance[20],"U")+COUNTIF(MarchAttendance[20],"E")</totalsRowFormula>
    </tableColumn>
    <tableColumn id="22" name="21" totalsRowFunction="custom" dataDxfId="365" totalsRowDxfId="364">
      <totalsRowFormula>COUNTIF(MarchAttendance[21],"U")+COUNTIF(MarchAttendance[21],"E")</totalsRowFormula>
    </tableColumn>
    <tableColumn id="23" name="22" totalsRowFunction="custom" dataDxfId="363" totalsRowDxfId="362">
      <totalsRowFormula>COUNTIF(MarchAttendance[22],"U")+COUNTIF(MarchAttendance[22],"E")</totalsRowFormula>
    </tableColumn>
    <tableColumn id="24" name="23" totalsRowFunction="custom" dataDxfId="361" totalsRowDxfId="360">
      <totalsRowFormula>COUNTIF(MarchAttendance[23],"U")+COUNTIF(MarchAttendance[23],"E")</totalsRowFormula>
    </tableColumn>
    <tableColumn id="25" name="24" totalsRowFunction="custom" dataDxfId="359" totalsRowDxfId="358">
      <totalsRowFormula>COUNTIF(MarchAttendance[24],"U")+COUNTIF(MarchAttendance[24],"E")</totalsRowFormula>
    </tableColumn>
    <tableColumn id="26" name="25" totalsRowFunction="custom" dataDxfId="357" totalsRowDxfId="356">
      <totalsRowFormula>COUNTIF(MarchAttendance[25],"U")+COUNTIF(MarchAttendance[25],"E")</totalsRowFormula>
    </tableColumn>
    <tableColumn id="27" name="26" totalsRowFunction="custom" dataDxfId="355" totalsRowDxfId="354">
      <totalsRowFormula>COUNTIF(MarchAttendance[26],"U")+COUNTIF(MarchAttendance[26],"E")</totalsRowFormula>
    </tableColumn>
    <tableColumn id="28" name="27" totalsRowFunction="custom" dataDxfId="353" totalsRowDxfId="352">
      <totalsRowFormula>COUNTIF(MarchAttendance[27],"U")+COUNTIF(MarchAttendance[27],"E")</totalsRowFormula>
    </tableColumn>
    <tableColumn id="29" name="28" totalsRowFunction="custom" dataDxfId="351" totalsRowDxfId="350">
      <totalsRowFormula>COUNTIF(MarchAttendance[28],"U")+COUNTIF(MarchAttendance[28],"E")</totalsRowFormula>
    </tableColumn>
    <tableColumn id="30" name="29" totalsRowFunction="custom" dataDxfId="349" totalsRowDxfId="348">
      <totalsRowFormula>COUNTIF(MarchAttendance[29],"U")+COUNTIF(MarchAttendance[29],"E")</totalsRowFormula>
    </tableColumn>
    <tableColumn id="31" name="30" dataDxfId="347" totalsRowDxfId="346"/>
    <tableColumn id="32" name="31" dataDxfId="345" totalsRowDxfId="344"/>
    <tableColumn id="35" name="T" totalsRowFunction="sum" dataDxfId="343" totalsRowDxfId="342">
      <calculatedColumnFormula>COUNTIF(MarchAttendance[[#This Row],[1]:[31]],Code1)</calculatedColumnFormula>
    </tableColumn>
    <tableColumn id="34" name="E" totalsRowFunction="sum" dataDxfId="341" totalsRowDxfId="340">
      <calculatedColumnFormula>COUNTIF(MarchAttendance[[#This Row],[1]:[31]],Code2)</calculatedColumnFormula>
    </tableColumn>
    <tableColumn id="37" name="U" totalsRowFunction="sum" dataDxfId="339" totalsRowDxfId="338">
      <calculatedColumnFormula>COUNTIF(MarchAttendance[[#This Row],[1]:[31]],Code3)</calculatedColumnFormula>
    </tableColumn>
    <tableColumn id="36" name="P" totalsRowFunction="sum" dataDxfId="337" totalsRowDxfId="336">
      <calculatedColumnFormula>COUNTIF(MarchAttendance[[#This Row],[1]:[31]],Code4)</calculatedColumnFormula>
    </tableColumn>
    <tableColumn id="33" name="Days Absent" totalsRowFunction="sum" dataDxfId="335" totalsRowDxfId="334">
      <calculatedColumnFormula>SUM(MarchAttendance[[#This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March."/>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table" Target="../tables/table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P32"/>
  <sheetViews>
    <sheetView showGridLines="0" showRowColHeaders="0" workbookViewId="0"/>
  </sheetViews>
  <sheetFormatPr baseColWidth="10" defaultColWidth="8.83203125" defaultRowHeight="13" x14ac:dyDescent="0"/>
  <cols>
    <col min="1" max="3" width="3.33203125" customWidth="1"/>
    <col min="4" max="4" width="3.83203125" customWidth="1"/>
    <col min="14" max="14" width="2.5" customWidth="1"/>
  </cols>
  <sheetData>
    <row r="1" spans="1:16" ht="42" customHeight="1">
      <c r="A1" s="92" t="s">
        <v>122</v>
      </c>
      <c r="B1" s="92"/>
      <c r="C1" s="92"/>
      <c r="D1" s="92"/>
      <c r="E1" s="47"/>
      <c r="F1" s="47"/>
      <c r="G1" s="47"/>
      <c r="H1" s="47"/>
      <c r="I1" s="47"/>
      <c r="J1" s="47"/>
      <c r="K1" s="47"/>
      <c r="L1" s="47"/>
      <c r="M1" s="47"/>
      <c r="N1" s="47"/>
      <c r="O1" s="100"/>
      <c r="P1" s="100"/>
    </row>
    <row r="2" spans="1:16" ht="6.75" customHeight="1"/>
    <row r="3" spans="1:16" ht="16">
      <c r="B3" s="93" t="s">
        <v>107</v>
      </c>
      <c r="C3" s="93"/>
      <c r="D3" s="93"/>
      <c r="E3" s="93"/>
      <c r="F3" s="93"/>
    </row>
    <row r="4" spans="1:16" ht="28.5" customHeight="1">
      <c r="C4" s="120" t="s">
        <v>111</v>
      </c>
      <c r="D4" s="120"/>
      <c r="E4" s="120"/>
      <c r="F4" s="120"/>
      <c r="G4" s="120"/>
      <c r="H4" s="120"/>
      <c r="I4" s="120"/>
      <c r="J4" s="120"/>
      <c r="K4" s="120"/>
      <c r="L4" s="120"/>
      <c r="M4" s="120"/>
    </row>
    <row r="5" spans="1:16" ht="85.5" customHeight="1">
      <c r="D5" s="99" t="s">
        <v>103</v>
      </c>
      <c r="E5" s="121" t="s">
        <v>129</v>
      </c>
      <c r="F5" s="121"/>
      <c r="G5" s="121"/>
      <c r="H5" s="121"/>
      <c r="I5" s="121"/>
      <c r="J5" s="121"/>
      <c r="K5" s="121"/>
      <c r="L5" s="121"/>
      <c r="M5" s="121"/>
      <c r="N5" s="94"/>
    </row>
    <row r="6" spans="1:16" ht="61.5" customHeight="1">
      <c r="C6" s="94"/>
      <c r="D6" s="99" t="s">
        <v>104</v>
      </c>
      <c r="E6" s="121" t="s">
        <v>126</v>
      </c>
      <c r="F6" s="121"/>
      <c r="G6" s="121"/>
      <c r="H6" s="121"/>
      <c r="I6" s="121"/>
      <c r="J6" s="121"/>
      <c r="K6" s="121"/>
      <c r="L6" s="121"/>
      <c r="M6" s="121"/>
      <c r="N6" s="94"/>
    </row>
    <row r="7" spans="1:16" ht="84.75" customHeight="1">
      <c r="C7" s="94"/>
      <c r="D7" s="99" t="s">
        <v>105</v>
      </c>
      <c r="E7" s="121" t="s">
        <v>130</v>
      </c>
      <c r="F7" s="121"/>
      <c r="G7" s="121"/>
      <c r="H7" s="121"/>
      <c r="I7" s="121"/>
      <c r="J7" s="121"/>
      <c r="K7" s="121"/>
      <c r="L7" s="121"/>
      <c r="M7" s="121"/>
      <c r="N7" s="94"/>
    </row>
    <row r="8" spans="1:16" ht="57" customHeight="1">
      <c r="C8" s="94"/>
      <c r="D8" s="99"/>
      <c r="E8" s="122" t="s">
        <v>128</v>
      </c>
      <c r="F8" s="122"/>
      <c r="G8" s="122"/>
      <c r="H8" s="122"/>
      <c r="I8" s="122"/>
      <c r="J8" s="122"/>
      <c r="K8" s="122"/>
      <c r="L8" s="122"/>
      <c r="M8" s="122"/>
      <c r="N8" s="94"/>
    </row>
    <row r="9" spans="1:16" ht="16.5" customHeight="1">
      <c r="E9" s="123" t="s">
        <v>123</v>
      </c>
      <c r="F9" s="123"/>
      <c r="G9" s="123"/>
      <c r="H9" s="123"/>
    </row>
    <row r="10" spans="1:16" ht="6.75" customHeight="1"/>
    <row r="11" spans="1:16" ht="16.5" customHeight="1">
      <c r="B11" s="93" t="s">
        <v>108</v>
      </c>
      <c r="C11" s="93"/>
      <c r="D11" s="93"/>
      <c r="E11" s="93"/>
      <c r="F11" s="93"/>
      <c r="G11" s="93"/>
      <c r="H11" s="93"/>
      <c r="I11" s="93"/>
    </row>
    <row r="12" spans="1:16" s="95" customFormat="1" ht="35.25" customHeight="1">
      <c r="C12" s="120" t="s">
        <v>106</v>
      </c>
      <c r="D12" s="120"/>
      <c r="E12" s="120"/>
      <c r="F12" s="120"/>
      <c r="G12" s="120"/>
      <c r="H12" s="120"/>
      <c r="I12" s="120"/>
      <c r="J12" s="120"/>
      <c r="K12" s="120"/>
      <c r="L12" s="120"/>
      <c r="M12" s="120"/>
    </row>
    <row r="13" spans="1:16" ht="47.25" customHeight="1">
      <c r="D13" s="99" t="s">
        <v>103</v>
      </c>
      <c r="E13" s="121" t="s">
        <v>124</v>
      </c>
      <c r="F13" s="121"/>
      <c r="G13" s="121"/>
      <c r="H13" s="121"/>
      <c r="I13" s="121"/>
      <c r="J13" s="121"/>
      <c r="K13" s="121"/>
      <c r="L13" s="121"/>
      <c r="M13" s="121"/>
      <c r="N13" s="94"/>
      <c r="O13" s="94"/>
    </row>
    <row r="14" spans="1:16" ht="47.25" customHeight="1">
      <c r="D14" s="99"/>
      <c r="E14" s="121" t="s">
        <v>127</v>
      </c>
      <c r="F14" s="121"/>
      <c r="G14" s="121"/>
      <c r="H14" s="121"/>
      <c r="I14" s="121"/>
      <c r="J14" s="121"/>
      <c r="K14" s="121"/>
      <c r="L14" s="121"/>
      <c r="M14" s="121"/>
      <c r="N14" s="104"/>
      <c r="O14" s="104"/>
    </row>
    <row r="15" spans="1:16" s="96" customFormat="1" ht="57.75" customHeight="1">
      <c r="D15" s="99" t="s">
        <v>104</v>
      </c>
      <c r="E15" s="121" t="s">
        <v>116</v>
      </c>
      <c r="F15" s="121"/>
      <c r="G15" s="121"/>
      <c r="H15" s="121"/>
      <c r="I15" s="121"/>
      <c r="J15" s="121"/>
      <c r="K15" s="121"/>
      <c r="L15" s="121"/>
      <c r="M15" s="121"/>
      <c r="N15" s="97"/>
      <c r="O15" s="97"/>
    </row>
    <row r="16" spans="1:16" ht="6.75" customHeight="1"/>
    <row r="17" spans="2:13" ht="16">
      <c r="B17" s="93" t="s">
        <v>109</v>
      </c>
      <c r="C17" s="93"/>
      <c r="D17" s="93"/>
      <c r="E17" s="93"/>
      <c r="F17" s="93"/>
      <c r="G17" s="93"/>
      <c r="H17" s="93"/>
      <c r="I17" s="93"/>
      <c r="J17" s="93"/>
    </row>
    <row r="18" spans="2:13" ht="30.75" customHeight="1">
      <c r="B18" s="95"/>
      <c r="C18" s="120" t="s">
        <v>117</v>
      </c>
      <c r="D18" s="120"/>
      <c r="E18" s="120"/>
      <c r="F18" s="120"/>
      <c r="G18" s="120"/>
      <c r="H18" s="120"/>
      <c r="I18" s="120"/>
      <c r="J18" s="120"/>
      <c r="K18" s="120"/>
      <c r="L18" s="120"/>
      <c r="M18" s="120"/>
    </row>
    <row r="19" spans="2:13" ht="34.5" customHeight="1">
      <c r="B19" s="95"/>
      <c r="C19" s="101"/>
      <c r="D19" s="96" t="s">
        <v>102</v>
      </c>
      <c r="E19" s="120" t="s">
        <v>113</v>
      </c>
      <c r="F19" s="120"/>
      <c r="G19" s="120"/>
      <c r="H19" s="120"/>
      <c r="I19" s="120"/>
      <c r="J19" s="120"/>
      <c r="K19" s="120"/>
      <c r="L19" s="120"/>
      <c r="M19" s="120"/>
    </row>
    <row r="20" spans="2:13" s="96" customFormat="1" ht="34.5" customHeight="1">
      <c r="D20" s="96" t="s">
        <v>102</v>
      </c>
      <c r="E20" s="121" t="s">
        <v>114</v>
      </c>
      <c r="F20" s="121"/>
      <c r="G20" s="121"/>
      <c r="H20" s="121"/>
      <c r="I20" s="121"/>
      <c r="J20" s="121"/>
      <c r="K20" s="121"/>
      <c r="L20" s="121"/>
      <c r="M20" s="121"/>
    </row>
    <row r="21" spans="2:13" s="96" customFormat="1" ht="34.5" customHeight="1">
      <c r="D21" s="96" t="s">
        <v>102</v>
      </c>
      <c r="E21" s="121" t="s">
        <v>131</v>
      </c>
      <c r="F21" s="121"/>
      <c r="G21" s="121"/>
      <c r="H21" s="121"/>
      <c r="I21" s="121"/>
      <c r="J21" s="121"/>
      <c r="K21" s="121"/>
      <c r="L21" s="121"/>
      <c r="M21" s="121"/>
    </row>
    <row r="22" spans="2:13" s="96" customFormat="1" ht="29.25" customHeight="1">
      <c r="D22" s="96" t="s">
        <v>102</v>
      </c>
      <c r="E22" s="121" t="s">
        <v>115</v>
      </c>
      <c r="F22" s="121"/>
      <c r="G22" s="121"/>
      <c r="H22" s="121"/>
      <c r="I22" s="121"/>
      <c r="J22" s="121"/>
      <c r="K22" s="121"/>
      <c r="L22" s="121"/>
      <c r="M22" s="121"/>
    </row>
    <row r="23" spans="2:13" ht="6.75" customHeight="1"/>
    <row r="24" spans="2:13" s="96" customFormat="1" ht="16.5" customHeight="1">
      <c r="B24" s="102" t="s">
        <v>110</v>
      </c>
      <c r="C24" s="102"/>
      <c r="D24" s="102"/>
      <c r="E24" s="102"/>
      <c r="F24" s="102"/>
      <c r="G24" s="102"/>
      <c r="H24" s="102"/>
      <c r="I24" s="102"/>
      <c r="J24" s="102"/>
      <c r="K24" s="102"/>
    </row>
    <row r="25" spans="2:13" s="96" customFormat="1" ht="96" customHeight="1">
      <c r="C25" s="120" t="s">
        <v>125</v>
      </c>
      <c r="D25" s="120"/>
      <c r="E25" s="120"/>
      <c r="F25" s="120"/>
      <c r="G25" s="120"/>
      <c r="H25" s="120"/>
      <c r="I25" s="120"/>
      <c r="J25" s="120"/>
      <c r="K25" s="120"/>
      <c r="L25" s="120"/>
      <c r="M25" s="120"/>
    </row>
    <row r="26" spans="2:13" s="96" customFormat="1" ht="16.5" customHeight="1"/>
    <row r="27" spans="2:13" s="96" customFormat="1" ht="16.5" customHeight="1"/>
    <row r="28" spans="2:13" s="96" customFormat="1" ht="16.5" customHeight="1"/>
    <row r="29" spans="2:13" s="96" customFormat="1" ht="16.5" customHeight="1"/>
    <row r="30" spans="2:13" s="96" customFormat="1" ht="16.5" customHeight="1"/>
    <row r="31" spans="2:13" s="96" customFormat="1" ht="16.5" customHeight="1"/>
    <row r="32" spans="2:13" ht="16.5" customHeight="1"/>
  </sheetData>
  <mergeCells count="16">
    <mergeCell ref="E22:M22"/>
    <mergeCell ref="C25:M25"/>
    <mergeCell ref="E13:M13"/>
    <mergeCell ref="E15:M15"/>
    <mergeCell ref="C18:M18"/>
    <mergeCell ref="E19:M19"/>
    <mergeCell ref="E20:M20"/>
    <mergeCell ref="E21:M21"/>
    <mergeCell ref="E14:M14"/>
    <mergeCell ref="C12:M12"/>
    <mergeCell ref="C4:M4"/>
    <mergeCell ref="E5:M5"/>
    <mergeCell ref="E6:M6"/>
    <mergeCell ref="E7:M7"/>
    <mergeCell ref="E8:M8"/>
    <mergeCell ref="E9:H9"/>
  </mergeCells>
  <hyperlinks>
    <hyperlink ref="E9:F9" r:id="rId1" location="_Toc261352312" display="Customize a document theme."/>
  </hyperlinks>
  <printOptions horizontalCentered="1"/>
  <pageMargins left="0.25" right="0.25" top="0.75" bottom="0.75" header="0.3" footer="0.3"/>
  <pageSetup scale="77" orientation="portrait"/>
  <ignoredErrors>
    <ignoredError sqref="D15 D5:D7 D13"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DATE(CalendarYear+1,3,1)</f>
        <v>41334</v>
      </c>
      <c r="C5" s="64"/>
      <c r="D5" s="46" t="str">
        <f>TEXT(WEEKDAY(DATE(CalendarYear+1,3,1),1),"aaa")</f>
        <v>Fri</v>
      </c>
      <c r="E5" s="46" t="str">
        <f>TEXT(WEEKDAY(DATE(CalendarYear+1,3,2),1),"aaa")</f>
        <v>Sat</v>
      </c>
      <c r="F5" s="46" t="str">
        <f>TEXT(WEEKDAY(DATE(CalendarYear+1,3,3),1),"aaa")</f>
        <v>Sun</v>
      </c>
      <c r="G5" s="46" t="str">
        <f>TEXT(WEEKDAY(DATE(CalendarYear+1,3,4),1),"aaa")</f>
        <v>Mon</v>
      </c>
      <c r="H5" s="46" t="str">
        <f>TEXT(WEEKDAY(DATE(CalendarYear+1,3,5),1),"aaa")</f>
        <v>Tue</v>
      </c>
      <c r="I5" s="46" t="str">
        <f>TEXT(WEEKDAY(DATE(CalendarYear+1,3,6),1),"aaa")</f>
        <v>Wed</v>
      </c>
      <c r="J5" s="46" t="str">
        <f>TEXT(WEEKDAY(DATE(CalendarYear+1,3,7),1),"aaa")</f>
        <v>Thu</v>
      </c>
      <c r="K5" s="46" t="str">
        <f>TEXT(WEEKDAY(DATE(CalendarYear+1,3,8),1),"aaa")</f>
        <v>Fri</v>
      </c>
      <c r="L5" s="46" t="str">
        <f>TEXT(WEEKDAY(DATE(CalendarYear+1,3,9),1),"aaa")</f>
        <v>Sat</v>
      </c>
      <c r="M5" s="46" t="str">
        <f>TEXT(WEEKDAY(DATE(CalendarYear+1,3,10),1),"aaa")</f>
        <v>Sun</v>
      </c>
      <c r="N5" s="46" t="str">
        <f>TEXT(WEEKDAY(DATE(CalendarYear+1,3,11),1),"aaa")</f>
        <v>Mon</v>
      </c>
      <c r="O5" s="46" t="str">
        <f>TEXT(WEEKDAY(DATE(CalendarYear+1,3,12),1),"aaa")</f>
        <v>Tue</v>
      </c>
      <c r="P5" s="46" t="str">
        <f>TEXT(WEEKDAY(DATE(CalendarYear+1,3,13),1),"aaa")</f>
        <v>Wed</v>
      </c>
      <c r="Q5" s="46" t="str">
        <f>TEXT(WEEKDAY(DATE(CalendarYear+1,3,14),1),"aaa")</f>
        <v>Thu</v>
      </c>
      <c r="R5" s="46" t="str">
        <f>TEXT(WEEKDAY(DATE(CalendarYear+1,3,15),1),"aaa")</f>
        <v>Fri</v>
      </c>
      <c r="S5" s="46" t="str">
        <f>TEXT(WEEKDAY(DATE(CalendarYear+1,3,16),1),"aaa")</f>
        <v>Sat</v>
      </c>
      <c r="T5" s="46" t="str">
        <f>TEXT(WEEKDAY(DATE(CalendarYear+1,3,17),1),"aaa")</f>
        <v>Sun</v>
      </c>
      <c r="U5" s="46" t="str">
        <f>TEXT(WEEKDAY(DATE(CalendarYear+1,3,18),1),"aaa")</f>
        <v>Mon</v>
      </c>
      <c r="V5" s="46" t="str">
        <f>TEXT(WEEKDAY(DATE(CalendarYear+1,3,19),1),"aaa")</f>
        <v>Tue</v>
      </c>
      <c r="W5" s="46" t="str">
        <f>TEXT(WEEKDAY(DATE(CalendarYear+1,3,20),1),"aaa")</f>
        <v>Wed</v>
      </c>
      <c r="X5" s="46" t="str">
        <f>TEXT(WEEKDAY(DATE(CalendarYear+1,3,21),1),"aaa")</f>
        <v>Thu</v>
      </c>
      <c r="Y5" s="46" t="str">
        <f>TEXT(WEEKDAY(DATE(CalendarYear+1,3,22),1),"aaa")</f>
        <v>Fri</v>
      </c>
      <c r="Z5" s="46" t="str">
        <f>TEXT(WEEKDAY(DATE(CalendarYear+1,3,23),1),"aaa")</f>
        <v>Sat</v>
      </c>
      <c r="AA5" s="46" t="str">
        <f>TEXT(WEEKDAY(DATE(CalendarYear+1,3,24),1),"aaa")</f>
        <v>Sun</v>
      </c>
      <c r="AB5" s="46" t="str">
        <f>TEXT(WEEKDAY(DATE(CalendarYear+1,3,25),1),"aaa")</f>
        <v>Mon</v>
      </c>
      <c r="AC5" s="46" t="str">
        <f>TEXT(WEEKDAY(DATE(CalendarYear+1,3,26),1),"aaa")</f>
        <v>Tue</v>
      </c>
      <c r="AD5" s="46" t="str">
        <f>TEXT(WEEKDAY(DATE(CalendarYear+1,3,27),1),"aaa")</f>
        <v>Wed</v>
      </c>
      <c r="AE5" s="46" t="str">
        <f>TEXT(WEEKDAY(DATE(CalendarYear+1,3,28),1),"aaa")</f>
        <v>Thu</v>
      </c>
      <c r="AF5" s="46" t="str">
        <f>TEXT(WEEKDAY(DATE(CalendarYear+1,3,29),1),"aaa")</f>
        <v>Fri</v>
      </c>
      <c r="AG5" s="46" t="str">
        <f>TEXT(WEEKDAY(DATE(CalendarYear+1,3,30),1),"aaa")</f>
        <v>Sat</v>
      </c>
      <c r="AH5" s="46" t="str">
        <f>TEXT(WEEKDAY(DATE(CalendarYear+1,3,31),1),"aaa")</f>
        <v>Sun</v>
      </c>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30</v>
      </c>
      <c r="AI6" s="76" t="s">
        <v>37</v>
      </c>
      <c r="AJ6" s="40" t="s">
        <v>39</v>
      </c>
      <c r="AK6" s="39" t="s">
        <v>38</v>
      </c>
      <c r="AL6" s="37" t="s">
        <v>31</v>
      </c>
      <c r="AM6" t="s">
        <v>40</v>
      </c>
    </row>
    <row r="7" spans="1:39" ht="16.5" customHeight="1">
      <c r="B7" s="28"/>
      <c r="C7" s="23" t="str">
        <f>IFERROR(VLOOKUP(MarchAttendance[[#This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COUNTIF(MarchAttendance[[#This Row],[1]:[31]],Code1)</f>
        <v>0</v>
      </c>
      <c r="AJ7" s="38">
        <f>COUNTIF(MarchAttendance[[#This Row],[1]:[31]],Code2)</f>
        <v>0</v>
      </c>
      <c r="AK7" s="38">
        <f>COUNTIF(MarchAttendance[[#This Row],[1]:[31]],Code3)</f>
        <v>0</v>
      </c>
      <c r="AL7" s="38">
        <f>COUNTIF(MarchAttendance[[#This Row],[1]:[31]],Code4)</f>
        <v>0</v>
      </c>
      <c r="AM7" s="7">
        <f>SUM(MarchAttendance[[#This Row],[E]:[U]])</f>
        <v>0</v>
      </c>
    </row>
    <row r="8" spans="1:39" ht="16.5" customHeight="1">
      <c r="B8" s="28"/>
      <c r="C8" s="24" t="str">
        <f>IFERROR(VLOOKUP(MarchAttendance[[#This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COUNTIF(MarchAttendance[[#This Row],[1]:[31]],Code1)</f>
        <v>0</v>
      </c>
      <c r="AJ8" s="38">
        <f>COUNTIF(MarchAttendance[[#This Row],[1]:[31]],Code2)</f>
        <v>0</v>
      </c>
      <c r="AK8" s="38">
        <f>COUNTIF(MarchAttendance[[#This Row],[1]:[31]],Code3)</f>
        <v>0</v>
      </c>
      <c r="AL8" s="38">
        <f>COUNTIF(MarchAttendance[[#This Row],[1]:[31]],Code4)</f>
        <v>0</v>
      </c>
      <c r="AM8" s="7">
        <f>SUM(MarchAttendance[[#This Row],[E]:[U]])</f>
        <v>0</v>
      </c>
    </row>
    <row r="9" spans="1:39" ht="16.5" customHeight="1">
      <c r="B9" s="28"/>
      <c r="C9" s="24" t="str">
        <f>IFERROR(VLOOKUP(MarchAttendance[[#This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COUNTIF(MarchAttendance[[#This Row],[1]:[31]],Code1)</f>
        <v>0</v>
      </c>
      <c r="AJ9" s="38">
        <f>COUNTIF(MarchAttendance[[#This Row],[1]:[31]],Code2)</f>
        <v>0</v>
      </c>
      <c r="AK9" s="38">
        <f>COUNTIF(MarchAttendance[[#This Row],[1]:[31]],Code3)</f>
        <v>0</v>
      </c>
      <c r="AL9" s="38">
        <f>COUNTIF(MarchAttendance[[#This Row],[1]:[31]],Code4)</f>
        <v>0</v>
      </c>
      <c r="AM9" s="7">
        <f>SUM(MarchAttendance[[#This Row],[E]:[U]])</f>
        <v>0</v>
      </c>
    </row>
    <row r="10" spans="1:39" ht="16.5" customHeight="1">
      <c r="B10" s="28"/>
      <c r="C10" s="24" t="str">
        <f>IFERROR(VLOOKUP(MarchAttendance[[#This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COUNTIF(MarchAttendance[[#This Row],[1]:[31]],Code1)</f>
        <v>0</v>
      </c>
      <c r="AJ10" s="38">
        <f>COUNTIF(MarchAttendance[[#This Row],[1]:[31]],Code2)</f>
        <v>0</v>
      </c>
      <c r="AK10" s="38">
        <f>COUNTIF(MarchAttendance[[#This Row],[1]:[31]],Code3)</f>
        <v>0</v>
      </c>
      <c r="AL10" s="38">
        <f>COUNTIF(MarchAttendance[[#This Row],[1]:[31]],Code4)</f>
        <v>0</v>
      </c>
      <c r="AM10" s="7">
        <f>SUM(MarchAttendance[[#This Row],[E]:[U]])</f>
        <v>0</v>
      </c>
    </row>
    <row r="11" spans="1:39" ht="16.5" customHeight="1">
      <c r="B11" s="28"/>
      <c r="C11" s="24" t="str">
        <f>IFERROR(VLOOKUP(MarchAttendance[[#This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COUNTIF(MarchAttendance[[#This Row],[1]:[31]],Code1)</f>
        <v>0</v>
      </c>
      <c r="AJ11" s="38">
        <f>COUNTIF(MarchAttendance[[#This Row],[1]:[31]],Code2)</f>
        <v>0</v>
      </c>
      <c r="AK11" s="38">
        <f>COUNTIF(MarchAttendance[[#This Row],[1]:[31]],Code3)</f>
        <v>0</v>
      </c>
      <c r="AL11" s="38">
        <f>COUNTIF(MarchAttendance[[#This Row],[1]:[31]],Code4)</f>
        <v>0</v>
      </c>
      <c r="AM11" s="7">
        <f>SUM(MarchAttendance[[#This Row],[E]:[U]])</f>
        <v>0</v>
      </c>
    </row>
    <row r="12" spans="1:39" ht="16.5" customHeight="1">
      <c r="B12" s="3"/>
      <c r="C12" s="4" t="s">
        <v>120</v>
      </c>
      <c r="D12" s="7">
        <f>COUNTIF(MarchAttendance[1],"U")+COUNTIF(MarchAttendance[1],"E")</f>
        <v>0</v>
      </c>
      <c r="E12" s="7">
        <f>COUNTIF(MarchAttendance[2],"U")+COUNTIF(MarchAttendance[2],"E")</f>
        <v>0</v>
      </c>
      <c r="F12" s="7">
        <f>COUNTIF(MarchAttendance[3],"U")+COUNTIF(MarchAttendance[3],"E")</f>
        <v>0</v>
      </c>
      <c r="G12" s="7">
        <f>COUNTIF(MarchAttendance[4],"U")+COUNTIF(MarchAttendance[4],"E")</f>
        <v>0</v>
      </c>
      <c r="H12" s="7">
        <f>COUNTIF(MarchAttendance[5],"U")+COUNTIF(MarchAttendance[5],"E")</f>
        <v>0</v>
      </c>
      <c r="I12" s="7">
        <f>COUNTIF(MarchAttendance[6],"U")+COUNTIF(MarchAttendance[6],"E")</f>
        <v>0</v>
      </c>
      <c r="J12" s="7">
        <f>COUNTIF(MarchAttendance[7],"U")+COUNTIF(MarchAttendance[7],"E")</f>
        <v>0</v>
      </c>
      <c r="K12" s="7">
        <f>COUNTIF(MarchAttendance[8],"U")+COUNTIF(MarchAttendance[8],"E")</f>
        <v>0</v>
      </c>
      <c r="L12" s="7">
        <f>COUNTIF(MarchAttendance[9],"U")+COUNTIF(MarchAttendance[9],"E")</f>
        <v>0</v>
      </c>
      <c r="M12" s="7">
        <f>COUNTIF(MarchAttendance[10],"U")+COUNTIF(MarchAttendance[10],"E")</f>
        <v>0</v>
      </c>
      <c r="N12" s="7">
        <f>COUNTIF(MarchAttendance[11],"U")+COUNTIF(MarchAttendance[11],"E")</f>
        <v>0</v>
      </c>
      <c r="O12" s="7">
        <f>COUNTIF(MarchAttendance[12],"U")+COUNTIF(MarchAttendance[12],"E")</f>
        <v>0</v>
      </c>
      <c r="P12" s="7">
        <f>COUNTIF(MarchAttendance[13],"U")+COUNTIF(MarchAttendance[13],"E")</f>
        <v>0</v>
      </c>
      <c r="Q12" s="7">
        <f>COUNTIF(MarchAttendance[14],"U")+COUNTIF(MarchAttendance[14],"E")</f>
        <v>0</v>
      </c>
      <c r="R12" s="7">
        <f>COUNTIF(MarchAttendance[15],"U")+COUNTIF(MarchAttendance[15],"E")</f>
        <v>0</v>
      </c>
      <c r="S12" s="7">
        <f>COUNTIF(MarchAttendance[16],"U")+COUNTIF(MarchAttendance[16],"E")</f>
        <v>0</v>
      </c>
      <c r="T12" s="7">
        <f>COUNTIF(MarchAttendance[17],"U")+COUNTIF(MarchAttendance[17],"E")</f>
        <v>0</v>
      </c>
      <c r="U12" s="7">
        <f>COUNTIF(MarchAttendance[18],"U")+COUNTIF(MarchAttendance[18],"E")</f>
        <v>0</v>
      </c>
      <c r="V12" s="7">
        <f>COUNTIF(MarchAttendance[19],"U")+COUNTIF(MarchAttendance[19],"E")</f>
        <v>0</v>
      </c>
      <c r="W12" s="7">
        <f>COUNTIF(MarchAttendance[20],"U")+COUNTIF(MarchAttendance[20],"E")</f>
        <v>0</v>
      </c>
      <c r="X12" s="7">
        <f>COUNTIF(MarchAttendance[21],"U")+COUNTIF(MarchAttendance[21],"E")</f>
        <v>0</v>
      </c>
      <c r="Y12" s="7">
        <f>COUNTIF(MarchAttendance[22],"U")+COUNTIF(MarchAttendance[22],"E")</f>
        <v>0</v>
      </c>
      <c r="Z12" s="7">
        <f>COUNTIF(MarchAttendance[23],"U")+COUNTIF(MarchAttendance[23],"E")</f>
        <v>0</v>
      </c>
      <c r="AA12" s="7">
        <f>COUNTIF(MarchAttendance[24],"U")+COUNTIF(MarchAttendance[24],"E")</f>
        <v>0</v>
      </c>
      <c r="AB12" s="7">
        <f>COUNTIF(MarchAttendance[25],"U")+COUNTIF(MarchAttendance[25],"E")</f>
        <v>0</v>
      </c>
      <c r="AC12" s="7">
        <f>COUNTIF(MarchAttendance[26],"U")+COUNTIF(MarchAttendance[26],"E")</f>
        <v>0</v>
      </c>
      <c r="AD12" s="7">
        <f>COUNTIF(MarchAttendance[27],"U")+COUNTIF(MarchAttendance[27],"E")</f>
        <v>0</v>
      </c>
      <c r="AE12" s="7">
        <f>COUNTIF(MarchAttendance[28],"U")+COUNTIF(MarchAttendance[28],"E")</f>
        <v>0</v>
      </c>
      <c r="AF12" s="7">
        <f>COUNTIF(MarchAttendance[29],"U")+COUNTIF(MarchAttendance[29],"E")</f>
        <v>0</v>
      </c>
      <c r="AG12" s="7"/>
      <c r="AH12" s="7"/>
      <c r="AI12" s="7">
        <f>SUBTOTAL(109,MarchAttendance[T])</f>
        <v>0</v>
      </c>
      <c r="AJ12" s="7">
        <f>SUBTOTAL(109,MarchAttendance[E])</f>
        <v>0</v>
      </c>
      <c r="AK12" s="7">
        <f>SUBTOTAL(109,MarchAttendance[U])</f>
        <v>0</v>
      </c>
      <c r="AL12" s="7">
        <f>SUBTOTAL(109,MarchAttendance[P])</f>
        <v>0</v>
      </c>
      <c r="AM12" s="7">
        <f>SUBTOTAL(109,MarchAttendance[Days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415" priority="2" stopIfTrue="1">
      <formula>D7=Code2</formula>
    </cfRule>
  </conditionalFormatting>
  <conditionalFormatting sqref="D7:AF11">
    <cfRule type="expression" dxfId="414" priority="3" stopIfTrue="1">
      <formula>D7=Code5</formula>
    </cfRule>
    <cfRule type="expression" dxfId="413" priority="4" stopIfTrue="1">
      <formula>D7=Code4</formula>
    </cfRule>
    <cfRule type="expression" dxfId="412" priority="5" stopIfTrue="1">
      <formula>D7=Code3</formula>
    </cfRule>
    <cfRule type="expression" dxfId="411"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DATE(CalendarYear+1,4,1)</f>
        <v>41365</v>
      </c>
      <c r="C5" s="64"/>
      <c r="D5" s="46" t="str">
        <f>TEXT(WEEKDAY(DATE(CalendarYear+1,4,1),1),"aaa")</f>
        <v>Mon</v>
      </c>
      <c r="E5" s="46" t="str">
        <f>TEXT(WEEKDAY(DATE(CalendarYear+1,4,2),1),"aaa")</f>
        <v>Tue</v>
      </c>
      <c r="F5" s="46" t="str">
        <f>TEXT(WEEKDAY(DATE(CalendarYear+1,4,3),1),"aaa")</f>
        <v>Wed</v>
      </c>
      <c r="G5" s="46" t="str">
        <f>TEXT(WEEKDAY(DATE(CalendarYear+1,4,4),1),"aaa")</f>
        <v>Thu</v>
      </c>
      <c r="H5" s="46" t="str">
        <f>TEXT(WEEKDAY(DATE(CalendarYear+1,4,5),1),"aaa")</f>
        <v>Fri</v>
      </c>
      <c r="I5" s="46" t="str">
        <f>TEXT(WEEKDAY(DATE(CalendarYear+1,4,6),1),"aaa")</f>
        <v>Sat</v>
      </c>
      <c r="J5" s="46" t="str">
        <f>TEXT(WEEKDAY(DATE(CalendarYear+1,4,7),1),"aaa")</f>
        <v>Sun</v>
      </c>
      <c r="K5" s="46" t="str">
        <f>TEXT(WEEKDAY(DATE(CalendarYear+1,4,8),1),"aaa")</f>
        <v>Mon</v>
      </c>
      <c r="L5" s="46" t="str">
        <f>TEXT(WEEKDAY(DATE(CalendarYear+1,4,9),1),"aaa")</f>
        <v>Tue</v>
      </c>
      <c r="M5" s="46" t="str">
        <f>TEXT(WEEKDAY(DATE(CalendarYear+1,4,10),1),"aaa")</f>
        <v>Wed</v>
      </c>
      <c r="N5" s="46" t="str">
        <f>TEXT(WEEKDAY(DATE(CalendarYear+1,4,11),1),"aaa")</f>
        <v>Thu</v>
      </c>
      <c r="O5" s="46" t="str">
        <f>TEXT(WEEKDAY(DATE(CalendarYear+1,4,12),1),"aaa")</f>
        <v>Fri</v>
      </c>
      <c r="P5" s="46" t="str">
        <f>TEXT(WEEKDAY(DATE(CalendarYear+1,4,13),1),"aaa")</f>
        <v>Sat</v>
      </c>
      <c r="Q5" s="46" t="str">
        <f>TEXT(WEEKDAY(DATE(CalendarYear+1,4,14),1),"aaa")</f>
        <v>Sun</v>
      </c>
      <c r="R5" s="46" t="str">
        <f>TEXT(WEEKDAY(DATE(CalendarYear+1,4,15),1),"aaa")</f>
        <v>Mon</v>
      </c>
      <c r="S5" s="46" t="str">
        <f>TEXT(WEEKDAY(DATE(CalendarYear+1,4,16),1),"aaa")</f>
        <v>Tue</v>
      </c>
      <c r="T5" s="46" t="str">
        <f>TEXT(WEEKDAY(DATE(CalendarYear+1,4,17),1),"aaa")</f>
        <v>Wed</v>
      </c>
      <c r="U5" s="46" t="str">
        <f>TEXT(WEEKDAY(DATE(CalendarYear+1,4,18),1),"aaa")</f>
        <v>Thu</v>
      </c>
      <c r="V5" s="46" t="str">
        <f>TEXT(WEEKDAY(DATE(CalendarYear+1,4,19),1),"aaa")</f>
        <v>Fri</v>
      </c>
      <c r="W5" s="46" t="str">
        <f>TEXT(WEEKDAY(DATE(CalendarYear+1,4,20),1),"aaa")</f>
        <v>Sat</v>
      </c>
      <c r="X5" s="46" t="str">
        <f>TEXT(WEEKDAY(DATE(CalendarYear+1,4,21),1),"aaa")</f>
        <v>Sun</v>
      </c>
      <c r="Y5" s="46" t="str">
        <f>TEXT(WEEKDAY(DATE(CalendarYear+1,4,22),1),"aaa")</f>
        <v>Mon</v>
      </c>
      <c r="Z5" s="46" t="str">
        <f>TEXT(WEEKDAY(DATE(CalendarYear+1,4,23),1),"aaa")</f>
        <v>Tue</v>
      </c>
      <c r="AA5" s="46" t="str">
        <f>TEXT(WEEKDAY(DATE(CalendarYear+1,4,24),1),"aaa")</f>
        <v>Wed</v>
      </c>
      <c r="AB5" s="46" t="str">
        <f>TEXT(WEEKDAY(DATE(CalendarYear+1,4,25),1),"aaa")</f>
        <v>Thu</v>
      </c>
      <c r="AC5" s="46" t="str">
        <f>TEXT(WEEKDAY(DATE(CalendarYear+1,4,26),1),"aaa")</f>
        <v>Fri</v>
      </c>
      <c r="AD5" s="46" t="str">
        <f>TEXT(WEEKDAY(DATE(CalendarYear+1,4,27),1),"aaa")</f>
        <v>Sat</v>
      </c>
      <c r="AE5" s="46" t="str">
        <f>TEXT(WEEKDAY(DATE(CalendarYear+1,4,28),1),"aaa")</f>
        <v>Sun</v>
      </c>
      <c r="AF5" s="46" t="str">
        <f>TEXT(WEEKDAY(DATE(CalendarYear+1,4,29),1),"aaa")</f>
        <v>Mon</v>
      </c>
      <c r="AG5" s="46" t="str">
        <f>TEXT(WEEKDAY(DATE(CalendarYear+1,4,30),1),"aaa")</f>
        <v>Tue</v>
      </c>
      <c r="AH5" s="46"/>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119</v>
      </c>
      <c r="AI6" s="76" t="s">
        <v>37</v>
      </c>
      <c r="AJ6" s="40" t="s">
        <v>39</v>
      </c>
      <c r="AK6" s="39" t="s">
        <v>38</v>
      </c>
      <c r="AL6" s="37" t="s">
        <v>31</v>
      </c>
      <c r="AM6" t="s">
        <v>40</v>
      </c>
    </row>
    <row r="7" spans="1:39" ht="16.5" customHeight="1">
      <c r="B7" s="28"/>
      <c r="C7" s="23" t="str">
        <f>IFERROR(VLOOKUP(AprilAttendance[[#This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COUNTIF(AprilAttendance[[#This Row],[1]:[ ]],Code1)</f>
        <v>0</v>
      </c>
      <c r="AJ7" s="38">
        <f>COUNTIF(AprilAttendance[[#This Row],[1]:[ ]],Code2)</f>
        <v>0</v>
      </c>
      <c r="AK7" s="38">
        <f>COUNTIF(AprilAttendance[[#This Row],[1]:[ ]],Code3)</f>
        <v>0</v>
      </c>
      <c r="AL7" s="38">
        <f>COUNTIF(AprilAttendance[[#This Row],[1]:[ ]],Code4)</f>
        <v>0</v>
      </c>
      <c r="AM7" s="7">
        <f>SUM(AprilAttendance[[#This Row],[E]:[U]])</f>
        <v>0</v>
      </c>
    </row>
    <row r="8" spans="1:39" ht="16.5" customHeight="1">
      <c r="B8" s="28"/>
      <c r="C8" s="24" t="str">
        <f>IFERROR(VLOOKUP(AprilAttendance[[#This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COUNTIF(AprilAttendance[[#This Row],[1]:[ ]],Code1)</f>
        <v>0</v>
      </c>
      <c r="AJ8" s="38">
        <f>COUNTIF(AprilAttendance[[#This Row],[1]:[ ]],Code2)</f>
        <v>0</v>
      </c>
      <c r="AK8" s="38">
        <f>COUNTIF(AprilAttendance[[#This Row],[1]:[ ]],Code3)</f>
        <v>0</v>
      </c>
      <c r="AL8" s="38">
        <f>COUNTIF(AprilAttendance[[#This Row],[1]:[ ]],Code4)</f>
        <v>0</v>
      </c>
      <c r="AM8" s="7">
        <f>SUM(AprilAttendance[[#This Row],[E]:[U]])</f>
        <v>0</v>
      </c>
    </row>
    <row r="9" spans="1:39" ht="16.5" customHeight="1">
      <c r="B9" s="28"/>
      <c r="C9" s="24" t="str">
        <f>IFERROR(VLOOKUP(AprilAttendance[[#This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COUNTIF(AprilAttendance[[#This Row],[1]:[ ]],Code1)</f>
        <v>0</v>
      </c>
      <c r="AJ9" s="38">
        <f>COUNTIF(AprilAttendance[[#This Row],[1]:[ ]],Code2)</f>
        <v>0</v>
      </c>
      <c r="AK9" s="38">
        <f>COUNTIF(AprilAttendance[[#This Row],[1]:[ ]],Code3)</f>
        <v>0</v>
      </c>
      <c r="AL9" s="38">
        <f>COUNTIF(AprilAttendance[[#This Row],[1]:[ ]],Code4)</f>
        <v>0</v>
      </c>
      <c r="AM9" s="7">
        <f>SUM(AprilAttendance[[#This Row],[E]:[U]])</f>
        <v>0</v>
      </c>
    </row>
    <row r="10" spans="1:39" ht="16.5" customHeight="1">
      <c r="B10" s="28"/>
      <c r="C10" s="24" t="str">
        <f>IFERROR(VLOOKUP(AprilAttendance[[#This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COUNTIF(AprilAttendance[[#This Row],[1]:[ ]],Code1)</f>
        <v>0</v>
      </c>
      <c r="AJ10" s="38">
        <f>COUNTIF(AprilAttendance[[#This Row],[1]:[ ]],Code2)</f>
        <v>0</v>
      </c>
      <c r="AK10" s="38">
        <f>COUNTIF(AprilAttendance[[#This Row],[1]:[ ]],Code3)</f>
        <v>0</v>
      </c>
      <c r="AL10" s="38">
        <f>COUNTIF(AprilAttendance[[#This Row],[1]:[ ]],Code4)</f>
        <v>0</v>
      </c>
      <c r="AM10" s="7">
        <f>SUM(AprilAttendance[[#This Row],[E]:[U]])</f>
        <v>0</v>
      </c>
    </row>
    <row r="11" spans="1:39" ht="16.5" customHeight="1">
      <c r="B11" s="28"/>
      <c r="C11" s="24" t="str">
        <f>IFERROR(VLOOKUP(AprilAttendance[[#This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COUNTIF(AprilAttendance[[#This Row],[1]:[ ]],Code1)</f>
        <v>0</v>
      </c>
      <c r="AJ11" s="38">
        <f>COUNTIF(AprilAttendance[[#This Row],[1]:[ ]],Code2)</f>
        <v>0</v>
      </c>
      <c r="AK11" s="38">
        <f>COUNTIF(AprilAttendance[[#This Row],[1]:[ ]],Code3)</f>
        <v>0</v>
      </c>
      <c r="AL11" s="38">
        <f>COUNTIF(AprilAttendance[[#This Row],[1]:[ ]],Code4)</f>
        <v>0</v>
      </c>
      <c r="AM11" s="7">
        <f>SUM(AprilAttendance[[#This Row],[E]:[U]])</f>
        <v>0</v>
      </c>
    </row>
    <row r="12" spans="1:39" ht="16.5" customHeight="1">
      <c r="B12" s="3"/>
      <c r="C12" s="4" t="s">
        <v>120</v>
      </c>
      <c r="D12" s="7">
        <f>COUNTIF(AprilAttendance[1],"U")+COUNTIF(AprilAttendance[1],"E")</f>
        <v>0</v>
      </c>
      <c r="E12" s="7">
        <f>COUNTIF(AprilAttendance[2],"U")+COUNTIF(AprilAttendance[2],"E")</f>
        <v>0</v>
      </c>
      <c r="F12" s="7">
        <f>COUNTIF(AprilAttendance[3],"U")+COUNTIF(AprilAttendance[3],"E")</f>
        <v>0</v>
      </c>
      <c r="G12" s="7">
        <f>COUNTIF(AprilAttendance[4],"U")+COUNTIF(AprilAttendance[4],"E")</f>
        <v>0</v>
      </c>
      <c r="H12" s="7">
        <f>COUNTIF(AprilAttendance[5],"U")+COUNTIF(AprilAttendance[5],"E")</f>
        <v>0</v>
      </c>
      <c r="I12" s="7">
        <f>COUNTIF(AprilAttendance[6],"U")+COUNTIF(AprilAttendance[6],"E")</f>
        <v>0</v>
      </c>
      <c r="J12" s="7">
        <f>COUNTIF(AprilAttendance[7],"U")+COUNTIF(AprilAttendance[7],"E")</f>
        <v>0</v>
      </c>
      <c r="K12" s="7">
        <f>COUNTIF(AprilAttendance[8],"U")+COUNTIF(AprilAttendance[8],"E")</f>
        <v>0</v>
      </c>
      <c r="L12" s="7">
        <f>COUNTIF(AprilAttendance[9],"U")+COUNTIF(AprilAttendance[9],"E")</f>
        <v>0</v>
      </c>
      <c r="M12" s="7">
        <f>COUNTIF(AprilAttendance[10],"U")+COUNTIF(AprilAttendance[10],"E")</f>
        <v>0</v>
      </c>
      <c r="N12" s="7">
        <f>COUNTIF(AprilAttendance[11],"U")+COUNTIF(AprilAttendance[11],"E")</f>
        <v>0</v>
      </c>
      <c r="O12" s="7">
        <f>COUNTIF(AprilAttendance[12],"U")+COUNTIF(AprilAttendance[12],"E")</f>
        <v>0</v>
      </c>
      <c r="P12" s="7">
        <f>COUNTIF(AprilAttendance[13],"U")+COUNTIF(AprilAttendance[13],"E")</f>
        <v>0</v>
      </c>
      <c r="Q12" s="7">
        <f>COUNTIF(AprilAttendance[14],"U")+COUNTIF(AprilAttendance[14],"E")</f>
        <v>0</v>
      </c>
      <c r="R12" s="7">
        <f>COUNTIF(AprilAttendance[15],"U")+COUNTIF(AprilAttendance[15],"E")</f>
        <v>0</v>
      </c>
      <c r="S12" s="7">
        <f>COUNTIF(AprilAttendance[16],"U")+COUNTIF(AprilAttendance[16],"E")</f>
        <v>0</v>
      </c>
      <c r="T12" s="7">
        <f>COUNTIF(AprilAttendance[17],"U")+COUNTIF(AprilAttendance[17],"E")</f>
        <v>0</v>
      </c>
      <c r="U12" s="7">
        <f>COUNTIF(AprilAttendance[18],"U")+COUNTIF(AprilAttendance[18],"E")</f>
        <v>0</v>
      </c>
      <c r="V12" s="7">
        <f>COUNTIF(AprilAttendance[19],"U")+COUNTIF(AprilAttendance[19],"E")</f>
        <v>0</v>
      </c>
      <c r="W12" s="7">
        <f>COUNTIF(AprilAttendance[20],"U")+COUNTIF(AprilAttendance[20],"E")</f>
        <v>0</v>
      </c>
      <c r="X12" s="7">
        <f>COUNTIF(AprilAttendance[21],"U")+COUNTIF(AprilAttendance[21],"E")</f>
        <v>0</v>
      </c>
      <c r="Y12" s="7">
        <f>COUNTIF(AprilAttendance[22],"U")+COUNTIF(AprilAttendance[22],"E")</f>
        <v>0</v>
      </c>
      <c r="Z12" s="7">
        <f>COUNTIF(AprilAttendance[23],"U")+COUNTIF(AprilAttendance[23],"E")</f>
        <v>0</v>
      </c>
      <c r="AA12" s="7">
        <f>COUNTIF(AprilAttendance[24],"U")+COUNTIF(AprilAttendance[24],"E")</f>
        <v>0</v>
      </c>
      <c r="AB12" s="7">
        <f>COUNTIF(AprilAttendance[25],"U")+COUNTIF(AprilAttendance[25],"E")</f>
        <v>0</v>
      </c>
      <c r="AC12" s="7">
        <f>COUNTIF(AprilAttendance[26],"U")+COUNTIF(AprilAttendance[26],"E")</f>
        <v>0</v>
      </c>
      <c r="AD12" s="7">
        <f>COUNTIF(AprilAttendance[27],"U")+COUNTIF(AprilAttendance[27],"E")</f>
        <v>0</v>
      </c>
      <c r="AE12" s="7">
        <f>COUNTIF(AprilAttendance[28],"U")+COUNTIF(AprilAttendance[28],"E")</f>
        <v>0</v>
      </c>
      <c r="AF12" s="7">
        <f>COUNTIF(AprilAttendance[29],"U")+COUNTIF(AprilAttendance[29],"E")</f>
        <v>0</v>
      </c>
      <c r="AG12" s="7"/>
      <c r="AH12" s="7"/>
      <c r="AI12" s="7">
        <f>SUBTOTAL(109,AprilAttendance[T])</f>
        <v>0</v>
      </c>
      <c r="AJ12" s="7">
        <f>SUBTOTAL(109,AprilAttendance[E])</f>
        <v>0</v>
      </c>
      <c r="AK12" s="7">
        <f>SUBTOTAL(109,AprilAttendance[U])</f>
        <v>0</v>
      </c>
      <c r="AL12" s="7">
        <f>SUBTOTAL(109,AprilAttendance[P])</f>
        <v>0</v>
      </c>
      <c r="AM12" s="7">
        <f>SUBTOTAL(109,AprilAttendance[Days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333" priority="2" stopIfTrue="1">
      <formula>D7=Code2</formula>
    </cfRule>
  </conditionalFormatting>
  <conditionalFormatting sqref="D7:AF11">
    <cfRule type="expression" dxfId="332" priority="3" stopIfTrue="1">
      <formula>D7=Code5</formula>
    </cfRule>
    <cfRule type="expression" dxfId="331" priority="4" stopIfTrue="1">
      <formula>D7=Code4</formula>
    </cfRule>
    <cfRule type="expression" dxfId="330" priority="5" stopIfTrue="1">
      <formula>D7=Code3</formula>
    </cfRule>
    <cfRule type="expression" dxfId="329"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DATE(CalendarYear+1,5,1)</f>
        <v>41395</v>
      </c>
      <c r="C5" s="64"/>
      <c r="D5" s="46" t="str">
        <f>TEXT(WEEKDAY(DATE(CalendarYear+1,5,1),1),"aaa")</f>
        <v>Wed</v>
      </c>
      <c r="E5" s="46" t="str">
        <f>TEXT(WEEKDAY(DATE(CalendarYear+1,5,2),1),"aaa")</f>
        <v>Thu</v>
      </c>
      <c r="F5" s="46" t="str">
        <f>TEXT(WEEKDAY(DATE(CalendarYear+1,5,3),1),"aaa")</f>
        <v>Fri</v>
      </c>
      <c r="G5" s="46" t="str">
        <f>TEXT(WEEKDAY(DATE(CalendarYear+1,5,4),1),"aaa")</f>
        <v>Sat</v>
      </c>
      <c r="H5" s="46" t="str">
        <f>TEXT(WEEKDAY(DATE(CalendarYear+1,5,5),1),"aaa")</f>
        <v>Sun</v>
      </c>
      <c r="I5" s="46" t="str">
        <f>TEXT(WEEKDAY(DATE(CalendarYear+1,5,6),1),"aaa")</f>
        <v>Mon</v>
      </c>
      <c r="J5" s="46" t="str">
        <f>TEXT(WEEKDAY(DATE(CalendarYear+1,5,7),1),"aaa")</f>
        <v>Tue</v>
      </c>
      <c r="K5" s="46" t="str">
        <f>TEXT(WEEKDAY(DATE(CalendarYear+1,5,8),1),"aaa")</f>
        <v>Wed</v>
      </c>
      <c r="L5" s="46" t="str">
        <f>TEXT(WEEKDAY(DATE(CalendarYear+1,5,9),1),"aaa")</f>
        <v>Thu</v>
      </c>
      <c r="M5" s="46" t="str">
        <f>TEXT(WEEKDAY(DATE(CalendarYear+1,5,10),1),"aaa")</f>
        <v>Fri</v>
      </c>
      <c r="N5" s="46" t="str">
        <f>TEXT(WEEKDAY(DATE(CalendarYear+1,5,11),1),"aaa")</f>
        <v>Sat</v>
      </c>
      <c r="O5" s="46" t="str">
        <f>TEXT(WEEKDAY(DATE(CalendarYear+1,5,12),1),"aaa")</f>
        <v>Sun</v>
      </c>
      <c r="P5" s="46" t="str">
        <f>TEXT(WEEKDAY(DATE(CalendarYear+1,5,13),1),"aaa")</f>
        <v>Mon</v>
      </c>
      <c r="Q5" s="46" t="str">
        <f>TEXT(WEEKDAY(DATE(CalendarYear+1,5,14),1),"aaa")</f>
        <v>Tue</v>
      </c>
      <c r="R5" s="46" t="str">
        <f>TEXT(WEEKDAY(DATE(CalendarYear+1,5,15),1),"aaa")</f>
        <v>Wed</v>
      </c>
      <c r="S5" s="46" t="str">
        <f>TEXT(WEEKDAY(DATE(CalendarYear+1,5,16),1),"aaa")</f>
        <v>Thu</v>
      </c>
      <c r="T5" s="46" t="str">
        <f>TEXT(WEEKDAY(DATE(CalendarYear+1,5,17),1),"aaa")</f>
        <v>Fri</v>
      </c>
      <c r="U5" s="46" t="str">
        <f>TEXT(WEEKDAY(DATE(CalendarYear+1,5,18),1),"aaa")</f>
        <v>Sat</v>
      </c>
      <c r="V5" s="46" t="str">
        <f>TEXT(WEEKDAY(DATE(CalendarYear+1,5,19),1),"aaa")</f>
        <v>Sun</v>
      </c>
      <c r="W5" s="46" t="str">
        <f>TEXT(WEEKDAY(DATE(CalendarYear+1,5,20),1),"aaa")</f>
        <v>Mon</v>
      </c>
      <c r="X5" s="46" t="str">
        <f>TEXT(WEEKDAY(DATE(CalendarYear+1,5,21),1),"aaa")</f>
        <v>Tue</v>
      </c>
      <c r="Y5" s="46" t="str">
        <f>TEXT(WEEKDAY(DATE(CalendarYear+1,5,22),1),"aaa")</f>
        <v>Wed</v>
      </c>
      <c r="Z5" s="46" t="str">
        <f>TEXT(WEEKDAY(DATE(CalendarYear+1,5,23),1),"aaa")</f>
        <v>Thu</v>
      </c>
      <c r="AA5" s="46" t="str">
        <f>TEXT(WEEKDAY(DATE(CalendarYear+1,5,24),1),"aaa")</f>
        <v>Fri</v>
      </c>
      <c r="AB5" s="46" t="str">
        <f>TEXT(WEEKDAY(DATE(CalendarYear+1,5,25),1),"aaa")</f>
        <v>Sat</v>
      </c>
      <c r="AC5" s="46" t="str">
        <f>TEXT(WEEKDAY(DATE(CalendarYear+1,5,26),1),"aaa")</f>
        <v>Sun</v>
      </c>
      <c r="AD5" s="46" t="str">
        <f>TEXT(WEEKDAY(DATE(CalendarYear+1,5,27),1),"aaa")</f>
        <v>Mon</v>
      </c>
      <c r="AE5" s="46" t="str">
        <f>TEXT(WEEKDAY(DATE(CalendarYear+1,5,28),1),"aaa")</f>
        <v>Tue</v>
      </c>
      <c r="AF5" s="46" t="str">
        <f>TEXT(WEEKDAY(DATE(CalendarYear+1,5,29),1),"aaa")</f>
        <v>Wed</v>
      </c>
      <c r="AG5" s="46" t="str">
        <f>TEXT(WEEKDAY(DATE(CalendarYear+1,5,30),1),"aaa")</f>
        <v>Thu</v>
      </c>
      <c r="AH5" s="46" t="str">
        <f>TEXT(WEEKDAY(DATE(CalendarYear+1,5,31),1),"aaa")</f>
        <v>Fri</v>
      </c>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30</v>
      </c>
      <c r="AI6" s="76" t="s">
        <v>37</v>
      </c>
      <c r="AJ6" s="40" t="s">
        <v>39</v>
      </c>
      <c r="AK6" s="39" t="s">
        <v>38</v>
      </c>
      <c r="AL6" s="37" t="s">
        <v>31</v>
      </c>
      <c r="AM6" t="s">
        <v>40</v>
      </c>
    </row>
    <row r="7" spans="1:39" ht="16.5" customHeight="1">
      <c r="B7" s="28"/>
      <c r="C7" s="23" t="str">
        <f>IFERROR(VLOOKUP(MayAttendance[[#This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COUNTIF(MayAttendance[[#This Row],[1]:[31]],Code1)</f>
        <v>0</v>
      </c>
      <c r="AJ7" s="38">
        <f>COUNTIF(MayAttendance[[#This Row],[1]:[31]],Code2)</f>
        <v>0</v>
      </c>
      <c r="AK7" s="38">
        <f>COUNTIF(MayAttendance[[#This Row],[1]:[31]],Code3)</f>
        <v>0</v>
      </c>
      <c r="AL7" s="38">
        <f>COUNTIF(MayAttendance[[#This Row],[1]:[31]],Code4)</f>
        <v>0</v>
      </c>
      <c r="AM7" s="7">
        <f>SUM(MayAttendance[[#This Row],[E]:[U]])</f>
        <v>0</v>
      </c>
    </row>
    <row r="8" spans="1:39" ht="16.5" customHeight="1">
      <c r="B8" s="28"/>
      <c r="C8" s="24" t="str">
        <f>IFERROR(VLOOKUP(MayAttendance[[#This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COUNTIF(MayAttendance[[#This Row],[1]:[31]],Code1)</f>
        <v>0</v>
      </c>
      <c r="AJ8" s="38">
        <f>COUNTIF(MayAttendance[[#This Row],[1]:[31]],Code2)</f>
        <v>0</v>
      </c>
      <c r="AK8" s="38">
        <f>COUNTIF(MayAttendance[[#This Row],[1]:[31]],Code3)</f>
        <v>0</v>
      </c>
      <c r="AL8" s="38">
        <f>COUNTIF(MayAttendance[[#This Row],[1]:[31]],Code4)</f>
        <v>0</v>
      </c>
      <c r="AM8" s="7">
        <f>SUM(MayAttendance[[#This Row],[E]:[U]])</f>
        <v>0</v>
      </c>
    </row>
    <row r="9" spans="1:39" ht="16.5" customHeight="1">
      <c r="B9" s="28"/>
      <c r="C9" s="24" t="str">
        <f>IFERROR(VLOOKUP(MayAttendance[[#This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COUNTIF(MayAttendance[[#This Row],[1]:[31]],Code1)</f>
        <v>0</v>
      </c>
      <c r="AJ9" s="38">
        <f>COUNTIF(MayAttendance[[#This Row],[1]:[31]],Code2)</f>
        <v>0</v>
      </c>
      <c r="AK9" s="38">
        <f>COUNTIF(MayAttendance[[#This Row],[1]:[31]],Code3)</f>
        <v>0</v>
      </c>
      <c r="AL9" s="38">
        <f>COUNTIF(MayAttendance[[#This Row],[1]:[31]],Code4)</f>
        <v>0</v>
      </c>
      <c r="AM9" s="7">
        <f>SUM(MayAttendance[[#This Row],[E]:[U]])</f>
        <v>0</v>
      </c>
    </row>
    <row r="10" spans="1:39" ht="16.5" customHeight="1">
      <c r="B10" s="28"/>
      <c r="C10" s="24" t="str">
        <f>IFERROR(VLOOKUP(MayAttendance[[#This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COUNTIF(MayAttendance[[#This Row],[1]:[31]],Code1)</f>
        <v>0</v>
      </c>
      <c r="AJ10" s="38">
        <f>COUNTIF(MayAttendance[[#This Row],[1]:[31]],Code2)</f>
        <v>0</v>
      </c>
      <c r="AK10" s="38">
        <f>COUNTIF(MayAttendance[[#This Row],[1]:[31]],Code3)</f>
        <v>0</v>
      </c>
      <c r="AL10" s="38">
        <f>COUNTIF(MayAttendance[[#This Row],[1]:[31]],Code4)</f>
        <v>0</v>
      </c>
      <c r="AM10" s="7">
        <f>SUM(MayAttendance[[#This Row],[E]:[U]])</f>
        <v>0</v>
      </c>
    </row>
    <row r="11" spans="1:39" ht="16.5" customHeight="1">
      <c r="B11" s="28"/>
      <c r="C11" s="24" t="str">
        <f>IFERROR(VLOOKUP(MayAttendance[[#This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COUNTIF(MayAttendance[[#This Row],[1]:[31]],Code1)</f>
        <v>0</v>
      </c>
      <c r="AJ11" s="38">
        <f>COUNTIF(MayAttendance[[#This Row],[1]:[31]],Code2)</f>
        <v>0</v>
      </c>
      <c r="AK11" s="38">
        <f>COUNTIF(MayAttendance[[#This Row],[1]:[31]],Code3)</f>
        <v>0</v>
      </c>
      <c r="AL11" s="38">
        <f>COUNTIF(MayAttendance[[#This Row],[1]:[31]],Code4)</f>
        <v>0</v>
      </c>
      <c r="AM11" s="7">
        <f>SUM(MayAttendance[[#This Row],[E]:[U]])</f>
        <v>0</v>
      </c>
    </row>
    <row r="12" spans="1:39" ht="16.5" customHeight="1">
      <c r="B12" s="3"/>
      <c r="C12" s="4" t="s">
        <v>120</v>
      </c>
      <c r="D12" s="7">
        <f>COUNTIF(MayAttendance[1],"U")+COUNTIF(MayAttendance[1],"E")</f>
        <v>0</v>
      </c>
      <c r="E12" s="7">
        <f>COUNTIF(MayAttendance[2],"U")+COUNTIF(MayAttendance[2],"E")</f>
        <v>0</v>
      </c>
      <c r="F12" s="7">
        <f>COUNTIF(MayAttendance[3],"U")+COUNTIF(MayAttendance[3],"E")</f>
        <v>0</v>
      </c>
      <c r="G12" s="7">
        <f>COUNTIF(MayAttendance[4],"U")+COUNTIF(MayAttendance[4],"E")</f>
        <v>0</v>
      </c>
      <c r="H12" s="7">
        <f>COUNTIF(MayAttendance[5],"U")+COUNTIF(MayAttendance[5],"E")</f>
        <v>0</v>
      </c>
      <c r="I12" s="7">
        <f>COUNTIF(MayAttendance[6],"U")+COUNTIF(MayAttendance[6],"E")</f>
        <v>0</v>
      </c>
      <c r="J12" s="7">
        <f>COUNTIF(MayAttendance[7],"U")+COUNTIF(MayAttendance[7],"E")</f>
        <v>0</v>
      </c>
      <c r="K12" s="7">
        <f>COUNTIF(MayAttendance[8],"U")+COUNTIF(MayAttendance[8],"E")</f>
        <v>0</v>
      </c>
      <c r="L12" s="7">
        <f>COUNTIF(MayAttendance[9],"U")+COUNTIF(MayAttendance[9],"E")</f>
        <v>0</v>
      </c>
      <c r="M12" s="7">
        <f>COUNTIF(MayAttendance[10],"U")+COUNTIF(MayAttendance[10],"E")</f>
        <v>0</v>
      </c>
      <c r="N12" s="7">
        <f>COUNTIF(MayAttendance[11],"U")+COUNTIF(MayAttendance[11],"E")</f>
        <v>0</v>
      </c>
      <c r="O12" s="7">
        <f>COUNTIF(MayAttendance[12],"U")+COUNTIF(MayAttendance[12],"E")</f>
        <v>0</v>
      </c>
      <c r="P12" s="7">
        <f>COUNTIF(MayAttendance[13],"U")+COUNTIF(MayAttendance[13],"E")</f>
        <v>0</v>
      </c>
      <c r="Q12" s="7">
        <f>COUNTIF(MayAttendance[14],"U")+COUNTIF(MayAttendance[14],"E")</f>
        <v>0</v>
      </c>
      <c r="R12" s="7">
        <f>COUNTIF(MayAttendance[15],"U")+COUNTIF(MayAttendance[15],"E")</f>
        <v>0</v>
      </c>
      <c r="S12" s="7">
        <f>COUNTIF(MayAttendance[16],"U")+COUNTIF(MayAttendance[16],"E")</f>
        <v>0</v>
      </c>
      <c r="T12" s="7">
        <f>COUNTIF(MayAttendance[17],"U")+COUNTIF(MayAttendance[17],"E")</f>
        <v>0</v>
      </c>
      <c r="U12" s="7">
        <f>COUNTIF(MayAttendance[18],"U")+COUNTIF(MayAttendance[18],"E")</f>
        <v>0</v>
      </c>
      <c r="V12" s="7">
        <f>COUNTIF(MayAttendance[19],"U")+COUNTIF(MayAttendance[19],"E")</f>
        <v>0</v>
      </c>
      <c r="W12" s="7">
        <f>COUNTIF(MayAttendance[20],"U")+COUNTIF(MayAttendance[20],"E")</f>
        <v>0</v>
      </c>
      <c r="X12" s="7">
        <f>COUNTIF(MayAttendance[21],"U")+COUNTIF(MayAttendance[21],"E")</f>
        <v>0</v>
      </c>
      <c r="Y12" s="7">
        <f>COUNTIF(MayAttendance[22],"U")+COUNTIF(MayAttendance[22],"E")</f>
        <v>0</v>
      </c>
      <c r="Z12" s="7">
        <f>COUNTIF(MayAttendance[23],"U")+COUNTIF(MayAttendance[23],"E")</f>
        <v>0</v>
      </c>
      <c r="AA12" s="7">
        <f>COUNTIF(MayAttendance[24],"U")+COUNTIF(MayAttendance[24],"E")</f>
        <v>0</v>
      </c>
      <c r="AB12" s="7">
        <f>COUNTIF(MayAttendance[25],"U")+COUNTIF(MayAttendance[25],"E")</f>
        <v>0</v>
      </c>
      <c r="AC12" s="7">
        <f>COUNTIF(MayAttendance[26],"U")+COUNTIF(MayAttendance[26],"E")</f>
        <v>0</v>
      </c>
      <c r="AD12" s="7">
        <f>COUNTIF(MayAttendance[27],"U")+COUNTIF(MayAttendance[27],"E")</f>
        <v>0</v>
      </c>
      <c r="AE12" s="7">
        <f>COUNTIF(MayAttendance[28],"U")+COUNTIF(MayAttendance[28],"E")</f>
        <v>0</v>
      </c>
      <c r="AF12" s="7">
        <f>COUNTIF(MayAttendance[29],"U")+COUNTIF(MayAttendance[29],"E")</f>
        <v>0</v>
      </c>
      <c r="AG12" s="7"/>
      <c r="AH12" s="7"/>
      <c r="AI12" s="7">
        <f>SUBTOTAL(109,MayAttendance[T])</f>
        <v>0</v>
      </c>
      <c r="AJ12" s="7">
        <f>SUBTOTAL(109,MayAttendance[E])</f>
        <v>0</v>
      </c>
      <c r="AK12" s="7">
        <f>SUBTOTAL(109,MayAttendance[U])</f>
        <v>0</v>
      </c>
      <c r="AL12" s="7">
        <f>SUBTOTAL(109,MayAttendance[P])</f>
        <v>0</v>
      </c>
      <c r="AM12" s="7">
        <f>SUBTOTAL(109,MayAttendance[Days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251" priority="2" stopIfTrue="1">
      <formula>D7=Code2</formula>
    </cfRule>
  </conditionalFormatting>
  <conditionalFormatting sqref="D7:AF11">
    <cfRule type="expression" dxfId="250" priority="3" stopIfTrue="1">
      <formula>D7=Code5</formula>
    </cfRule>
    <cfRule type="expression" dxfId="249" priority="4" stopIfTrue="1">
      <formula>D7=Code4</formula>
    </cfRule>
    <cfRule type="expression" dxfId="248" priority="5" stopIfTrue="1">
      <formula>D7=Code3</formula>
    </cfRule>
    <cfRule type="expression" dxfId="247"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DATE(CalendarYear+1,6,1)</f>
        <v>41426</v>
      </c>
      <c r="C5" s="64"/>
      <c r="D5" s="46" t="str">
        <f>TEXT(WEEKDAY(DATE(CalendarYear+1,6,1),1),"aaa")</f>
        <v>Sat</v>
      </c>
      <c r="E5" s="46" t="str">
        <f>TEXT(WEEKDAY(DATE(CalendarYear+1,6,2),1),"aaa")</f>
        <v>Sun</v>
      </c>
      <c r="F5" s="46" t="str">
        <f>TEXT(WEEKDAY(DATE(CalendarYear+1,6,3),1),"aaa")</f>
        <v>Mon</v>
      </c>
      <c r="G5" s="46" t="str">
        <f>TEXT(WEEKDAY(DATE(CalendarYear+1,6,4),1),"aaa")</f>
        <v>Tue</v>
      </c>
      <c r="H5" s="46" t="str">
        <f>TEXT(WEEKDAY(DATE(CalendarYear+1,6,5),1),"aaa")</f>
        <v>Wed</v>
      </c>
      <c r="I5" s="46" t="str">
        <f>TEXT(WEEKDAY(DATE(CalendarYear+1,6,6),1),"aaa")</f>
        <v>Thu</v>
      </c>
      <c r="J5" s="46" t="str">
        <f>TEXT(WEEKDAY(DATE(CalendarYear+1,6,7),1),"aaa")</f>
        <v>Fri</v>
      </c>
      <c r="K5" s="46" t="str">
        <f>TEXT(WEEKDAY(DATE(CalendarYear+1,6,8),1),"aaa")</f>
        <v>Sat</v>
      </c>
      <c r="L5" s="46" t="str">
        <f>TEXT(WEEKDAY(DATE(CalendarYear+1,6,9),1),"aaa")</f>
        <v>Sun</v>
      </c>
      <c r="M5" s="46" t="str">
        <f>TEXT(WEEKDAY(DATE(CalendarYear+1,6,10),1),"aaa")</f>
        <v>Mon</v>
      </c>
      <c r="N5" s="46" t="str">
        <f>TEXT(WEEKDAY(DATE(CalendarYear+1,6,11),1),"aaa")</f>
        <v>Tue</v>
      </c>
      <c r="O5" s="46" t="str">
        <f>TEXT(WEEKDAY(DATE(CalendarYear+1,6,12),1),"aaa")</f>
        <v>Wed</v>
      </c>
      <c r="P5" s="46" t="str">
        <f>TEXT(WEEKDAY(DATE(CalendarYear+1,6,13),1),"aaa")</f>
        <v>Thu</v>
      </c>
      <c r="Q5" s="46" t="str">
        <f>TEXT(WEEKDAY(DATE(CalendarYear+1,6,14),1),"aaa")</f>
        <v>Fri</v>
      </c>
      <c r="R5" s="46" t="str">
        <f>TEXT(WEEKDAY(DATE(CalendarYear+1,6,15),1),"aaa")</f>
        <v>Sat</v>
      </c>
      <c r="S5" s="46" t="str">
        <f>TEXT(WEEKDAY(DATE(CalendarYear+1,6,16),1),"aaa")</f>
        <v>Sun</v>
      </c>
      <c r="T5" s="46" t="str">
        <f>TEXT(WEEKDAY(DATE(CalendarYear+1,6,17),1),"aaa")</f>
        <v>Mon</v>
      </c>
      <c r="U5" s="46" t="str">
        <f>TEXT(WEEKDAY(DATE(CalendarYear+1,6,18),1),"aaa")</f>
        <v>Tue</v>
      </c>
      <c r="V5" s="46" t="str">
        <f>TEXT(WEEKDAY(DATE(CalendarYear+1,6,19),1),"aaa")</f>
        <v>Wed</v>
      </c>
      <c r="W5" s="46" t="str">
        <f>TEXT(WEEKDAY(DATE(CalendarYear+1,6,20),1),"aaa")</f>
        <v>Thu</v>
      </c>
      <c r="X5" s="46" t="str">
        <f>TEXT(WEEKDAY(DATE(CalendarYear+1,6,21),1),"aaa")</f>
        <v>Fri</v>
      </c>
      <c r="Y5" s="46" t="str">
        <f>TEXT(WEEKDAY(DATE(CalendarYear+1,6,22),1),"aaa")</f>
        <v>Sat</v>
      </c>
      <c r="Z5" s="46" t="str">
        <f>TEXT(WEEKDAY(DATE(CalendarYear+1,6,23),1),"aaa")</f>
        <v>Sun</v>
      </c>
      <c r="AA5" s="46" t="str">
        <f>TEXT(WEEKDAY(DATE(CalendarYear+1,6,24),1),"aaa")</f>
        <v>Mon</v>
      </c>
      <c r="AB5" s="46" t="str">
        <f>TEXT(WEEKDAY(DATE(CalendarYear+1,6,25),1),"aaa")</f>
        <v>Tue</v>
      </c>
      <c r="AC5" s="46" t="str">
        <f>TEXT(WEEKDAY(DATE(CalendarYear+1,6,26),1),"aaa")</f>
        <v>Wed</v>
      </c>
      <c r="AD5" s="46" t="str">
        <f>TEXT(WEEKDAY(DATE(CalendarYear+1,6,27),1),"aaa")</f>
        <v>Thu</v>
      </c>
      <c r="AE5" s="46" t="str">
        <f>TEXT(WEEKDAY(DATE(CalendarYear+1,6,28),1),"aaa")</f>
        <v>Fri</v>
      </c>
      <c r="AF5" s="46" t="str">
        <f>TEXT(WEEKDAY(DATE(CalendarYear+1,6,29),1),"aaa")</f>
        <v>Sat</v>
      </c>
      <c r="AG5" s="46" t="str">
        <f>TEXT(WEEKDAY(DATE(CalendarYear+1,6,30),1),"aaa")</f>
        <v>Sun</v>
      </c>
      <c r="AH5" s="46"/>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119</v>
      </c>
      <c r="AI6" s="76" t="s">
        <v>37</v>
      </c>
      <c r="AJ6" s="40" t="s">
        <v>39</v>
      </c>
      <c r="AK6" s="39" t="s">
        <v>38</v>
      </c>
      <c r="AL6" s="37" t="s">
        <v>31</v>
      </c>
      <c r="AM6" t="s">
        <v>40</v>
      </c>
    </row>
    <row r="7" spans="1:39" ht="16.5" customHeight="1">
      <c r="B7" s="28"/>
      <c r="C7" s="23" t="str">
        <f>IFERROR(VLOOKUP(JuneAttendance[[#This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COUNTIF(JuneAttendance[[#This Row],[1]:[ ]],Code1)</f>
        <v>0</v>
      </c>
      <c r="AJ7" s="38">
        <f>COUNTIF(JuneAttendance[[#This Row],[1]:[ ]],Code2)</f>
        <v>0</v>
      </c>
      <c r="AK7" s="38">
        <f>COUNTIF(JuneAttendance[[#This Row],[1]:[ ]],Code3)</f>
        <v>0</v>
      </c>
      <c r="AL7" s="38">
        <f>COUNTIF(JuneAttendance[[#This Row],[1]:[ ]],Code4)</f>
        <v>0</v>
      </c>
      <c r="AM7" s="7">
        <f>SUM(JuneAttendance[[#This Row],[E]:[U]])</f>
        <v>0</v>
      </c>
    </row>
    <row r="8" spans="1:39" ht="16.5" customHeight="1">
      <c r="B8" s="28"/>
      <c r="C8" s="24" t="str">
        <f>IFERROR(VLOOKUP(JuneAttendance[[#This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COUNTIF(JuneAttendance[[#This Row],[1]:[ ]],Code1)</f>
        <v>0</v>
      </c>
      <c r="AJ8" s="38">
        <f>COUNTIF(JuneAttendance[[#This Row],[1]:[ ]],Code2)</f>
        <v>0</v>
      </c>
      <c r="AK8" s="38">
        <f>COUNTIF(JuneAttendance[[#This Row],[1]:[ ]],Code3)</f>
        <v>0</v>
      </c>
      <c r="AL8" s="38">
        <f>COUNTIF(JuneAttendance[[#This Row],[1]:[ ]],Code4)</f>
        <v>0</v>
      </c>
      <c r="AM8" s="7">
        <f>SUM(JuneAttendance[[#This Row],[E]:[U]])</f>
        <v>0</v>
      </c>
    </row>
    <row r="9" spans="1:39" ht="16.5" customHeight="1">
      <c r="B9" s="28"/>
      <c r="C9" s="24" t="str">
        <f>IFERROR(VLOOKUP(JuneAttendance[[#This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COUNTIF(JuneAttendance[[#This Row],[1]:[ ]],Code1)</f>
        <v>0</v>
      </c>
      <c r="AJ9" s="38">
        <f>COUNTIF(JuneAttendance[[#This Row],[1]:[ ]],Code2)</f>
        <v>0</v>
      </c>
      <c r="AK9" s="38">
        <f>COUNTIF(JuneAttendance[[#This Row],[1]:[ ]],Code3)</f>
        <v>0</v>
      </c>
      <c r="AL9" s="38">
        <f>COUNTIF(JuneAttendance[[#This Row],[1]:[ ]],Code4)</f>
        <v>0</v>
      </c>
      <c r="AM9" s="7">
        <f>SUM(JuneAttendance[[#This Row],[E]:[U]])</f>
        <v>0</v>
      </c>
    </row>
    <row r="10" spans="1:39" ht="16.5" customHeight="1">
      <c r="B10" s="28"/>
      <c r="C10" s="24" t="str">
        <f>IFERROR(VLOOKUP(JuneAttendance[[#This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COUNTIF(JuneAttendance[[#This Row],[1]:[ ]],Code1)</f>
        <v>0</v>
      </c>
      <c r="AJ10" s="38">
        <f>COUNTIF(JuneAttendance[[#This Row],[1]:[ ]],Code2)</f>
        <v>0</v>
      </c>
      <c r="AK10" s="38">
        <f>COUNTIF(JuneAttendance[[#This Row],[1]:[ ]],Code3)</f>
        <v>0</v>
      </c>
      <c r="AL10" s="38">
        <f>COUNTIF(JuneAttendance[[#This Row],[1]:[ ]],Code4)</f>
        <v>0</v>
      </c>
      <c r="AM10" s="7">
        <f>SUM(JuneAttendance[[#This Row],[E]:[U]])</f>
        <v>0</v>
      </c>
    </row>
    <row r="11" spans="1:39" ht="16.5" customHeight="1">
      <c r="B11" s="28"/>
      <c r="C11" s="24" t="str">
        <f>IFERROR(VLOOKUP(JuneAttendance[[#This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COUNTIF(JuneAttendance[[#This Row],[1]:[ ]],Code1)</f>
        <v>0</v>
      </c>
      <c r="AJ11" s="38">
        <f>COUNTIF(JuneAttendance[[#This Row],[1]:[ ]],Code2)</f>
        <v>0</v>
      </c>
      <c r="AK11" s="38">
        <f>COUNTIF(JuneAttendance[[#This Row],[1]:[ ]],Code3)</f>
        <v>0</v>
      </c>
      <c r="AL11" s="38">
        <f>COUNTIF(JuneAttendance[[#This Row],[1]:[ ]],Code4)</f>
        <v>0</v>
      </c>
      <c r="AM11" s="7">
        <f>SUM(JuneAttendance[[#This Row],[E]:[U]])</f>
        <v>0</v>
      </c>
    </row>
    <row r="12" spans="1:39" ht="16.5" customHeight="1">
      <c r="B12" s="3"/>
      <c r="C12" s="4" t="s">
        <v>120</v>
      </c>
      <c r="D12" s="7">
        <f>COUNTIF(JuneAttendance[1],"U")+COUNTIF(JuneAttendance[1],"E")</f>
        <v>0</v>
      </c>
      <c r="E12" s="7">
        <f>COUNTIF(JuneAttendance[2],"U")+COUNTIF(JuneAttendance[2],"E")</f>
        <v>0</v>
      </c>
      <c r="F12" s="7">
        <f>COUNTIF(JuneAttendance[3],"U")+COUNTIF(JuneAttendance[3],"E")</f>
        <v>0</v>
      </c>
      <c r="G12" s="7">
        <f>COUNTIF(JuneAttendance[4],"U")+COUNTIF(JuneAttendance[4],"E")</f>
        <v>0</v>
      </c>
      <c r="H12" s="7">
        <f>COUNTIF(JuneAttendance[5],"U")+COUNTIF(JuneAttendance[5],"E")</f>
        <v>0</v>
      </c>
      <c r="I12" s="7">
        <f>COUNTIF(JuneAttendance[6],"U")+COUNTIF(JuneAttendance[6],"E")</f>
        <v>0</v>
      </c>
      <c r="J12" s="7">
        <f>COUNTIF(JuneAttendance[7],"U")+COUNTIF(JuneAttendance[7],"E")</f>
        <v>0</v>
      </c>
      <c r="K12" s="7">
        <f>COUNTIF(JuneAttendance[8],"U")+COUNTIF(JuneAttendance[8],"E")</f>
        <v>0</v>
      </c>
      <c r="L12" s="7">
        <f>COUNTIF(JuneAttendance[9],"U")+COUNTIF(JuneAttendance[9],"E")</f>
        <v>0</v>
      </c>
      <c r="M12" s="7">
        <f>COUNTIF(JuneAttendance[10],"U")+COUNTIF(JuneAttendance[10],"E")</f>
        <v>0</v>
      </c>
      <c r="N12" s="7">
        <f>COUNTIF(JuneAttendance[11],"U")+COUNTIF(JuneAttendance[11],"E")</f>
        <v>0</v>
      </c>
      <c r="O12" s="7">
        <f>COUNTIF(JuneAttendance[12],"U")+COUNTIF(JuneAttendance[12],"E")</f>
        <v>0</v>
      </c>
      <c r="P12" s="7">
        <f>COUNTIF(JuneAttendance[13],"U")+COUNTIF(JuneAttendance[13],"E")</f>
        <v>0</v>
      </c>
      <c r="Q12" s="7">
        <f>COUNTIF(JuneAttendance[14],"U")+COUNTIF(JuneAttendance[14],"E")</f>
        <v>0</v>
      </c>
      <c r="R12" s="7">
        <f>COUNTIF(JuneAttendance[15],"U")+COUNTIF(JuneAttendance[15],"E")</f>
        <v>0</v>
      </c>
      <c r="S12" s="7">
        <f>COUNTIF(JuneAttendance[16],"U")+COUNTIF(JuneAttendance[16],"E")</f>
        <v>0</v>
      </c>
      <c r="T12" s="7">
        <f>COUNTIF(JuneAttendance[17],"U")+COUNTIF(JuneAttendance[17],"E")</f>
        <v>0</v>
      </c>
      <c r="U12" s="7">
        <f>COUNTIF(JuneAttendance[18],"U")+COUNTIF(JuneAttendance[18],"E")</f>
        <v>0</v>
      </c>
      <c r="V12" s="7">
        <f>COUNTIF(JuneAttendance[19],"U")+COUNTIF(JuneAttendance[19],"E")</f>
        <v>0</v>
      </c>
      <c r="W12" s="7">
        <f>COUNTIF(JuneAttendance[20],"U")+COUNTIF(JuneAttendance[20],"E")</f>
        <v>0</v>
      </c>
      <c r="X12" s="7">
        <f>COUNTIF(JuneAttendance[21],"U")+COUNTIF(JuneAttendance[21],"E")</f>
        <v>0</v>
      </c>
      <c r="Y12" s="7">
        <f>COUNTIF(JuneAttendance[22],"U")+COUNTIF(JuneAttendance[22],"E")</f>
        <v>0</v>
      </c>
      <c r="Z12" s="7">
        <f>COUNTIF(JuneAttendance[23],"U")+COUNTIF(JuneAttendance[23],"E")</f>
        <v>0</v>
      </c>
      <c r="AA12" s="7">
        <f>COUNTIF(JuneAttendance[24],"U")+COUNTIF(JuneAttendance[24],"E")</f>
        <v>0</v>
      </c>
      <c r="AB12" s="7">
        <f>COUNTIF(JuneAttendance[25],"U")+COUNTIF(JuneAttendance[25],"E")</f>
        <v>0</v>
      </c>
      <c r="AC12" s="7">
        <f>COUNTIF(JuneAttendance[26],"U")+COUNTIF(JuneAttendance[26],"E")</f>
        <v>0</v>
      </c>
      <c r="AD12" s="7">
        <f>COUNTIF(JuneAttendance[27],"U")+COUNTIF(JuneAttendance[27],"E")</f>
        <v>0</v>
      </c>
      <c r="AE12" s="7">
        <f>COUNTIF(JuneAttendance[28],"U")+COUNTIF(JuneAttendance[28],"E")</f>
        <v>0</v>
      </c>
      <c r="AF12" s="7">
        <f>COUNTIF(JuneAttendance[29],"U")+COUNTIF(JuneAttendance[29],"E")</f>
        <v>0</v>
      </c>
      <c r="AG12" s="7"/>
      <c r="AH12" s="7"/>
      <c r="AI12" s="7">
        <f>SUBTOTAL(109,JuneAttendance[T])</f>
        <v>0</v>
      </c>
      <c r="AJ12" s="7">
        <f>SUBTOTAL(109,JuneAttendance[E])</f>
        <v>0</v>
      </c>
      <c r="AK12" s="7">
        <f>SUBTOTAL(109,JuneAttendance[U])</f>
        <v>0</v>
      </c>
      <c r="AL12" s="7">
        <f>SUBTOTAL(109,JuneAttendance[P])</f>
        <v>0</v>
      </c>
      <c r="AM12" s="7">
        <f>SUBTOTAL(109,JuneAttendance[Days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169" priority="2" stopIfTrue="1">
      <formula>D7=Code2</formula>
    </cfRule>
  </conditionalFormatting>
  <conditionalFormatting sqref="D7:AF11">
    <cfRule type="expression" dxfId="168" priority="3" stopIfTrue="1">
      <formula>D7=Code5</formula>
    </cfRule>
    <cfRule type="expression" dxfId="167" priority="4" stopIfTrue="1">
      <formula>D7=Code4</formula>
    </cfRule>
    <cfRule type="expression" dxfId="166" priority="5" stopIfTrue="1">
      <formula>D7=Code3</formula>
    </cfRule>
    <cfRule type="expression" dxfId="165"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DATE(CalendarYear+1,7,1)</f>
        <v>41456</v>
      </c>
      <c r="C5" s="64"/>
      <c r="D5" s="46" t="str">
        <f>TEXT(WEEKDAY(DATE(CalendarYear+1,7,1),1),"aaa")</f>
        <v>Mon</v>
      </c>
      <c r="E5" s="46" t="str">
        <f>TEXT(WEEKDAY(DATE(CalendarYear+1,7,2),1),"aaa")</f>
        <v>Tue</v>
      </c>
      <c r="F5" s="46" t="str">
        <f>TEXT(WEEKDAY(DATE(CalendarYear+1,7,3),1),"aaa")</f>
        <v>Wed</v>
      </c>
      <c r="G5" s="46" t="str">
        <f>TEXT(WEEKDAY(DATE(CalendarYear+1,7,4),1),"aaa")</f>
        <v>Thu</v>
      </c>
      <c r="H5" s="46" t="str">
        <f>TEXT(WEEKDAY(DATE(CalendarYear+1,7,5),1),"aaa")</f>
        <v>Fri</v>
      </c>
      <c r="I5" s="46" t="str">
        <f>TEXT(WEEKDAY(DATE(CalendarYear+1,7,6),1),"aaa")</f>
        <v>Sat</v>
      </c>
      <c r="J5" s="46" t="str">
        <f>TEXT(WEEKDAY(DATE(CalendarYear+1,7,7),1),"aaa")</f>
        <v>Sun</v>
      </c>
      <c r="K5" s="46" t="str">
        <f>TEXT(WEEKDAY(DATE(CalendarYear+1,7,8),1),"aaa")</f>
        <v>Mon</v>
      </c>
      <c r="L5" s="46" t="str">
        <f>TEXT(WEEKDAY(DATE(CalendarYear+1,7,9),1),"aaa")</f>
        <v>Tue</v>
      </c>
      <c r="M5" s="46" t="str">
        <f>TEXT(WEEKDAY(DATE(CalendarYear+1,7,10),1),"aaa")</f>
        <v>Wed</v>
      </c>
      <c r="N5" s="46" t="str">
        <f>TEXT(WEEKDAY(DATE(CalendarYear+1,7,11),1),"aaa")</f>
        <v>Thu</v>
      </c>
      <c r="O5" s="46" t="str">
        <f>TEXT(WEEKDAY(DATE(CalendarYear+1,7,12),1),"aaa")</f>
        <v>Fri</v>
      </c>
      <c r="P5" s="46" t="str">
        <f>TEXT(WEEKDAY(DATE(CalendarYear+1,7,13),1),"aaa")</f>
        <v>Sat</v>
      </c>
      <c r="Q5" s="46" t="str">
        <f>TEXT(WEEKDAY(DATE(CalendarYear+1,7,14),1),"aaa")</f>
        <v>Sun</v>
      </c>
      <c r="R5" s="46" t="str">
        <f>TEXT(WEEKDAY(DATE(CalendarYear+1,7,15),1),"aaa")</f>
        <v>Mon</v>
      </c>
      <c r="S5" s="46" t="str">
        <f>TEXT(WEEKDAY(DATE(CalendarYear+1,7,16),1),"aaa")</f>
        <v>Tue</v>
      </c>
      <c r="T5" s="46" t="str">
        <f>TEXT(WEEKDAY(DATE(CalendarYear+1,7,17),1),"aaa")</f>
        <v>Wed</v>
      </c>
      <c r="U5" s="46" t="str">
        <f>TEXT(WEEKDAY(DATE(CalendarYear+1,7,18),1),"aaa")</f>
        <v>Thu</v>
      </c>
      <c r="V5" s="46" t="str">
        <f>TEXT(WEEKDAY(DATE(CalendarYear+1,7,19),1),"aaa")</f>
        <v>Fri</v>
      </c>
      <c r="W5" s="46" t="str">
        <f>TEXT(WEEKDAY(DATE(CalendarYear+1,7,20),1),"aaa")</f>
        <v>Sat</v>
      </c>
      <c r="X5" s="46" t="str">
        <f>TEXT(WEEKDAY(DATE(CalendarYear+1,7,21),1),"aaa")</f>
        <v>Sun</v>
      </c>
      <c r="Y5" s="46" t="str">
        <f>TEXT(WEEKDAY(DATE(CalendarYear+1,7,22),1),"aaa")</f>
        <v>Mon</v>
      </c>
      <c r="Z5" s="46" t="str">
        <f>TEXT(WEEKDAY(DATE(CalendarYear+1,7,23),1),"aaa")</f>
        <v>Tue</v>
      </c>
      <c r="AA5" s="46" t="str">
        <f>TEXT(WEEKDAY(DATE(CalendarYear+1,7,24),1),"aaa")</f>
        <v>Wed</v>
      </c>
      <c r="AB5" s="46" t="str">
        <f>TEXT(WEEKDAY(DATE(CalendarYear+1,7,25),1),"aaa")</f>
        <v>Thu</v>
      </c>
      <c r="AC5" s="46" t="str">
        <f>TEXT(WEEKDAY(DATE(CalendarYear+1,7,26),1),"aaa")</f>
        <v>Fri</v>
      </c>
      <c r="AD5" s="46" t="str">
        <f>TEXT(WEEKDAY(DATE(CalendarYear+1,7,27),1),"aaa")</f>
        <v>Sat</v>
      </c>
      <c r="AE5" s="46" t="str">
        <f>TEXT(WEEKDAY(DATE(CalendarYear+1,7,28),1),"aaa")</f>
        <v>Sun</v>
      </c>
      <c r="AF5" s="46" t="str">
        <f>TEXT(WEEKDAY(DATE(CalendarYear+1,7,29),1),"aaa")</f>
        <v>Mon</v>
      </c>
      <c r="AG5" s="46" t="str">
        <f>TEXT(WEEKDAY(DATE(CalendarYear+1,7,30),1),"aaa")</f>
        <v>Tue</v>
      </c>
      <c r="AH5" s="46" t="str">
        <f>TEXT(WEEKDAY(DATE(CalendarYear+1,7,31),1),"aaa")</f>
        <v>Wed</v>
      </c>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30</v>
      </c>
      <c r="AI6" s="76" t="s">
        <v>37</v>
      </c>
      <c r="AJ6" s="40" t="s">
        <v>39</v>
      </c>
      <c r="AK6" s="39" t="s">
        <v>38</v>
      </c>
      <c r="AL6" s="37" t="s">
        <v>31</v>
      </c>
      <c r="AM6" t="s">
        <v>40</v>
      </c>
    </row>
    <row r="7" spans="1:39" ht="16.5" customHeight="1">
      <c r="B7" s="28"/>
      <c r="C7" s="23" t="str">
        <f>IFERROR(VLOOKUP(JulyAttendance[[#This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COUNTIF(JulyAttendance[[#This Row],[1]:[31]],Code1)</f>
        <v>0</v>
      </c>
      <c r="AJ7" s="38">
        <f>COUNTIF(JulyAttendance[[#This Row],[1]:[31]],Code2)</f>
        <v>0</v>
      </c>
      <c r="AK7" s="38">
        <f>COUNTIF(JulyAttendance[[#This Row],[1]:[31]],Code3)</f>
        <v>0</v>
      </c>
      <c r="AL7" s="38">
        <f>COUNTIF(JulyAttendance[[#This Row],[1]:[31]],Code4)</f>
        <v>0</v>
      </c>
      <c r="AM7" s="7">
        <f>SUM(JulyAttendance[[#This Row],[E]:[U]])</f>
        <v>0</v>
      </c>
    </row>
    <row r="8" spans="1:39" ht="16.5" customHeight="1">
      <c r="B8" s="28"/>
      <c r="C8" s="24" t="str">
        <f>IFERROR(VLOOKUP(JulyAttendance[[#This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COUNTIF(JulyAttendance[[#This Row],[1]:[31]],Code1)</f>
        <v>0</v>
      </c>
      <c r="AJ8" s="38">
        <f>COUNTIF(JulyAttendance[[#This Row],[1]:[31]],Code2)</f>
        <v>0</v>
      </c>
      <c r="AK8" s="38">
        <f>COUNTIF(JulyAttendance[[#This Row],[1]:[31]],Code3)</f>
        <v>0</v>
      </c>
      <c r="AL8" s="38">
        <f>COUNTIF(JulyAttendance[[#This Row],[1]:[31]],Code4)</f>
        <v>0</v>
      </c>
      <c r="AM8" s="7">
        <f>SUM(JulyAttendance[[#This Row],[E]:[U]])</f>
        <v>0</v>
      </c>
    </row>
    <row r="9" spans="1:39" ht="16.5" customHeight="1">
      <c r="B9" s="28"/>
      <c r="C9" s="24" t="str">
        <f>IFERROR(VLOOKUP(JulyAttendance[[#This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COUNTIF(JulyAttendance[[#This Row],[1]:[31]],Code1)</f>
        <v>0</v>
      </c>
      <c r="AJ9" s="38">
        <f>COUNTIF(JulyAttendance[[#This Row],[1]:[31]],Code2)</f>
        <v>0</v>
      </c>
      <c r="AK9" s="38">
        <f>COUNTIF(JulyAttendance[[#This Row],[1]:[31]],Code3)</f>
        <v>0</v>
      </c>
      <c r="AL9" s="38">
        <f>COUNTIF(JulyAttendance[[#This Row],[1]:[31]],Code4)</f>
        <v>0</v>
      </c>
      <c r="AM9" s="7">
        <f>SUM(JulyAttendance[[#This Row],[E]:[U]])</f>
        <v>0</v>
      </c>
    </row>
    <row r="10" spans="1:39" ht="16.5" customHeight="1">
      <c r="B10" s="28"/>
      <c r="C10" s="24" t="str">
        <f>IFERROR(VLOOKUP(JulyAttendance[[#This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COUNTIF(JulyAttendance[[#This Row],[1]:[31]],Code1)</f>
        <v>0</v>
      </c>
      <c r="AJ10" s="38">
        <f>COUNTIF(JulyAttendance[[#This Row],[1]:[31]],Code2)</f>
        <v>0</v>
      </c>
      <c r="AK10" s="38">
        <f>COUNTIF(JulyAttendance[[#This Row],[1]:[31]],Code3)</f>
        <v>0</v>
      </c>
      <c r="AL10" s="38">
        <f>COUNTIF(JulyAttendance[[#This Row],[1]:[31]],Code4)</f>
        <v>0</v>
      </c>
      <c r="AM10" s="7">
        <f>SUM(JulyAttendance[[#This Row],[E]:[U]])</f>
        <v>0</v>
      </c>
    </row>
    <row r="11" spans="1:39" ht="16.5" customHeight="1">
      <c r="B11" s="28"/>
      <c r="C11" s="24" t="str">
        <f>IFERROR(VLOOKUP(JulyAttendance[[#This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COUNTIF(JulyAttendance[[#This Row],[1]:[31]],Code1)</f>
        <v>0</v>
      </c>
      <c r="AJ11" s="38">
        <f>COUNTIF(JulyAttendance[[#This Row],[1]:[31]],Code2)</f>
        <v>0</v>
      </c>
      <c r="AK11" s="38">
        <f>COUNTIF(JulyAttendance[[#This Row],[1]:[31]],Code3)</f>
        <v>0</v>
      </c>
      <c r="AL11" s="38">
        <f>COUNTIF(JulyAttendance[[#This Row],[1]:[31]],Code4)</f>
        <v>0</v>
      </c>
      <c r="AM11" s="7">
        <f>SUM(JulyAttendance[[#This Row],[E]:[U]])</f>
        <v>0</v>
      </c>
    </row>
    <row r="12" spans="1:39" ht="16.5" customHeight="1">
      <c r="B12" s="3"/>
      <c r="C12" s="4" t="s">
        <v>120</v>
      </c>
      <c r="D12" s="7">
        <f>COUNTIF(JulyAttendance[1],"U")+COUNTIF(JulyAttendance[1],"E")</f>
        <v>0</v>
      </c>
      <c r="E12" s="7">
        <f>COUNTIF(JulyAttendance[2],"U")+COUNTIF(JulyAttendance[2],"E")</f>
        <v>0</v>
      </c>
      <c r="F12" s="7">
        <f>COUNTIF(JulyAttendance[3],"U")+COUNTIF(JulyAttendance[3],"E")</f>
        <v>0</v>
      </c>
      <c r="G12" s="7">
        <f>COUNTIF(JulyAttendance[4],"U")+COUNTIF(JulyAttendance[4],"E")</f>
        <v>0</v>
      </c>
      <c r="H12" s="7">
        <f>COUNTIF(JulyAttendance[5],"U")+COUNTIF(JulyAttendance[5],"E")</f>
        <v>0</v>
      </c>
      <c r="I12" s="7">
        <f>COUNTIF(JulyAttendance[6],"U")+COUNTIF(JulyAttendance[6],"E")</f>
        <v>0</v>
      </c>
      <c r="J12" s="7">
        <f>COUNTIF(JulyAttendance[7],"U")+COUNTIF(JulyAttendance[7],"E")</f>
        <v>0</v>
      </c>
      <c r="K12" s="7">
        <f>COUNTIF(JulyAttendance[8],"U")+COUNTIF(JulyAttendance[8],"E")</f>
        <v>0</v>
      </c>
      <c r="L12" s="7">
        <f>COUNTIF(JulyAttendance[9],"U")+COUNTIF(JulyAttendance[9],"E")</f>
        <v>0</v>
      </c>
      <c r="M12" s="7">
        <f>COUNTIF(JulyAttendance[10],"U")+COUNTIF(JulyAttendance[10],"E")</f>
        <v>0</v>
      </c>
      <c r="N12" s="7">
        <f>COUNTIF(JulyAttendance[11],"U")+COUNTIF(JulyAttendance[11],"E")</f>
        <v>0</v>
      </c>
      <c r="O12" s="7">
        <f>COUNTIF(JulyAttendance[12],"U")+COUNTIF(JulyAttendance[12],"E")</f>
        <v>0</v>
      </c>
      <c r="P12" s="7">
        <f>COUNTIF(JulyAttendance[13],"U")+COUNTIF(JulyAttendance[13],"E")</f>
        <v>0</v>
      </c>
      <c r="Q12" s="7">
        <f>COUNTIF(JulyAttendance[14],"U")+COUNTIF(JulyAttendance[14],"E")</f>
        <v>0</v>
      </c>
      <c r="R12" s="7">
        <f>COUNTIF(JulyAttendance[15],"U")+COUNTIF(JulyAttendance[15],"E")</f>
        <v>0</v>
      </c>
      <c r="S12" s="7">
        <f>COUNTIF(JulyAttendance[16],"U")+COUNTIF(JulyAttendance[16],"E")</f>
        <v>0</v>
      </c>
      <c r="T12" s="7">
        <f>COUNTIF(JulyAttendance[17],"U")+COUNTIF(JulyAttendance[17],"E")</f>
        <v>0</v>
      </c>
      <c r="U12" s="7">
        <f>COUNTIF(JulyAttendance[18],"U")+COUNTIF(JulyAttendance[18],"E")</f>
        <v>0</v>
      </c>
      <c r="V12" s="7">
        <f>COUNTIF(JulyAttendance[19],"U")+COUNTIF(JulyAttendance[19],"E")</f>
        <v>0</v>
      </c>
      <c r="W12" s="7">
        <f>COUNTIF(JulyAttendance[20],"U")+COUNTIF(JulyAttendance[20],"E")</f>
        <v>0</v>
      </c>
      <c r="X12" s="7">
        <f>COUNTIF(JulyAttendance[21],"U")+COUNTIF(JulyAttendance[21],"E")</f>
        <v>0</v>
      </c>
      <c r="Y12" s="7">
        <f>COUNTIF(JulyAttendance[22],"U")+COUNTIF(JulyAttendance[22],"E")</f>
        <v>0</v>
      </c>
      <c r="Z12" s="7">
        <f>COUNTIF(JulyAttendance[23],"U")+COUNTIF(JulyAttendance[23],"E")</f>
        <v>0</v>
      </c>
      <c r="AA12" s="7">
        <f>COUNTIF(JulyAttendance[24],"U")+COUNTIF(JulyAttendance[24],"E")</f>
        <v>0</v>
      </c>
      <c r="AB12" s="7">
        <f>COUNTIF(JulyAttendance[25],"U")+COUNTIF(JulyAttendance[25],"E")</f>
        <v>0</v>
      </c>
      <c r="AC12" s="7">
        <f>COUNTIF(JulyAttendance[26],"U")+COUNTIF(JulyAttendance[26],"E")</f>
        <v>0</v>
      </c>
      <c r="AD12" s="7">
        <f>COUNTIF(JulyAttendance[27],"U")+COUNTIF(JulyAttendance[27],"E")</f>
        <v>0</v>
      </c>
      <c r="AE12" s="7">
        <f>COUNTIF(JulyAttendance[28],"U")+COUNTIF(JulyAttendance[28],"E")</f>
        <v>0</v>
      </c>
      <c r="AF12" s="7">
        <f>COUNTIF(JulyAttendance[29],"U")+COUNTIF(JulyAttendance[29],"E")</f>
        <v>0</v>
      </c>
      <c r="AG12" s="7"/>
      <c r="AH12" s="7"/>
      <c r="AI12" s="7">
        <f>SUBTOTAL(109,JulyAttendance[T])</f>
        <v>0</v>
      </c>
      <c r="AJ12" s="7">
        <f>SUBTOTAL(109,JulyAttendance[E])</f>
        <v>0</v>
      </c>
      <c r="AK12" s="7">
        <f>SUBTOTAL(109,JulyAttendance[U])</f>
        <v>0</v>
      </c>
      <c r="AL12" s="7">
        <f>SUBTOTAL(109,JulyAttendance[P])</f>
        <v>0</v>
      </c>
      <c r="AM12" s="7">
        <f>SUBTOTAL(109,JulyAttendance[Days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87" priority="2" stopIfTrue="1">
      <formula>D7=Code2</formula>
    </cfRule>
  </conditionalFormatting>
  <conditionalFormatting sqref="D7:AF11">
    <cfRule type="expression" dxfId="86" priority="3" stopIfTrue="1">
      <formula>D7=Code5</formula>
    </cfRule>
    <cfRule type="expression" dxfId="85" priority="4" stopIfTrue="1">
      <formula>D7=Code4</formula>
    </cfRule>
    <cfRule type="expression" dxfId="84" priority="5" stopIfTrue="1">
      <formula>D7=Code3</formula>
    </cfRule>
    <cfRule type="expression" dxfId="83"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pageSetUpPr fitToPage="1"/>
  </sheetPr>
  <dimension ref="A1:AK40"/>
  <sheetViews>
    <sheetView showGridLines="0" tabSelected="1" workbookViewId="0">
      <selection activeCell="B4" sqref="B4:C4"/>
    </sheetView>
  </sheetViews>
  <sheetFormatPr baseColWidth="10" defaultColWidth="8.83203125" defaultRowHeight="13" x14ac:dyDescent="0"/>
  <cols>
    <col min="1" max="1" width="3.5" style="20" customWidth="1"/>
    <col min="2" max="2" width="10.83203125" style="20" customWidth="1"/>
    <col min="3" max="33" width="3.33203125" style="20" customWidth="1"/>
    <col min="34" max="37" width="6.1640625" style="20" customWidth="1"/>
    <col min="38" max="16384" width="8.83203125" style="20"/>
  </cols>
  <sheetData>
    <row r="1" spans="1:37" ht="33" customHeight="1">
      <c r="A1" s="88" t="str">
        <f>"Attendance Record for "</f>
        <v xml:space="preserve">Attendance Record for </v>
      </c>
      <c r="B1" s="68"/>
      <c r="C1" s="69"/>
      <c r="D1" s="69"/>
      <c r="E1" s="69"/>
      <c r="F1" s="69"/>
      <c r="G1" s="69"/>
      <c r="H1" s="69"/>
      <c r="I1" s="87" t="str">
        <f>D4</f>
        <v>David Alexander</v>
      </c>
      <c r="J1" s="68"/>
      <c r="K1" s="68"/>
      <c r="L1" s="68"/>
      <c r="M1" s="69"/>
      <c r="N1" s="66"/>
      <c r="O1" s="66"/>
      <c r="P1" s="66"/>
      <c r="Q1" s="66"/>
      <c r="R1" s="66"/>
      <c r="S1" s="66"/>
      <c r="T1" s="66"/>
      <c r="U1" s="66"/>
      <c r="V1" s="66"/>
      <c r="W1" s="66"/>
      <c r="X1" s="66"/>
      <c r="Y1" s="66"/>
      <c r="Z1" s="66"/>
      <c r="AA1" s="66"/>
      <c r="AB1" s="66"/>
      <c r="AC1" s="66"/>
      <c r="AD1" s="66"/>
      <c r="AE1" s="66"/>
      <c r="AF1" s="66"/>
      <c r="AG1" s="66"/>
      <c r="AH1" s="66"/>
      <c r="AI1" s="66"/>
      <c r="AJ1" s="66"/>
      <c r="AK1" s="67"/>
    </row>
    <row r="2" spans="1:37" customFormat="1" ht="15" customHeight="1"/>
    <row r="3" spans="1:37" ht="17.25" customHeight="1">
      <c r="B3" s="105" t="s">
        <v>34</v>
      </c>
      <c r="C3" s="106"/>
      <c r="D3" s="138" t="s">
        <v>36</v>
      </c>
      <c r="E3" s="138"/>
      <c r="F3" s="138"/>
      <c r="G3" s="138"/>
      <c r="H3" s="138"/>
      <c r="I3" s="138"/>
      <c r="J3" s="138"/>
      <c r="K3" s="138"/>
      <c r="L3" s="138"/>
      <c r="M3" s="138"/>
      <c r="N3" s="138"/>
      <c r="O3" s="138"/>
      <c r="P3" s="143" t="s">
        <v>42</v>
      </c>
      <c r="Q3" s="143"/>
      <c r="R3" s="143"/>
      <c r="S3" s="143" t="s">
        <v>43</v>
      </c>
      <c r="T3" s="143"/>
      <c r="U3" s="143"/>
      <c r="V3" s="143"/>
      <c r="W3" s="143" t="s">
        <v>44</v>
      </c>
      <c r="X3" s="143"/>
      <c r="Y3" s="143"/>
      <c r="Z3" s="143"/>
      <c r="AA3" s="143"/>
      <c r="AB3" s="143"/>
      <c r="AC3" s="143"/>
      <c r="AD3" s="143"/>
      <c r="AE3" s="141" t="s">
        <v>45</v>
      </c>
      <c r="AF3" s="141"/>
      <c r="AG3" s="143" t="s">
        <v>46</v>
      </c>
      <c r="AH3" s="143"/>
      <c r="AI3" s="143"/>
      <c r="AJ3" s="143"/>
      <c r="AK3" s="114" t="s">
        <v>47</v>
      </c>
    </row>
    <row r="4" spans="1:37" ht="17.25" customHeight="1">
      <c r="B4" s="136" t="s">
        <v>92</v>
      </c>
      <c r="C4" s="136"/>
      <c r="D4" s="137" t="str">
        <f>IFERROR(VLOOKUP(StudentLookup,StudentList[],18,FALSE),"")</f>
        <v>David Alexander</v>
      </c>
      <c r="E4" s="137"/>
      <c r="F4" s="137"/>
      <c r="G4" s="137"/>
      <c r="H4" s="137"/>
      <c r="I4" s="137"/>
      <c r="J4" s="137"/>
      <c r="K4" s="137"/>
      <c r="L4" s="137"/>
      <c r="M4" s="137"/>
      <c r="N4" s="137"/>
      <c r="O4" s="137"/>
      <c r="P4" s="145" t="str">
        <f>IFERROR(VLOOKUP(StudentLookup,StudentList[],4,FALSE),"")</f>
        <v>M</v>
      </c>
      <c r="Q4" s="145"/>
      <c r="R4" s="145"/>
      <c r="S4" s="146">
        <f>IFERROR(VLOOKUP(StudentLookup,StudentList[],5,FALSE),"")</f>
        <v>35517</v>
      </c>
      <c r="T4" s="146"/>
      <c r="U4" s="146"/>
      <c r="V4" s="146"/>
      <c r="W4" s="136" t="s">
        <v>99</v>
      </c>
      <c r="X4" s="136"/>
      <c r="Y4" s="136"/>
      <c r="Z4" s="136"/>
      <c r="AA4" s="136"/>
      <c r="AB4" s="136"/>
      <c r="AC4" s="136"/>
      <c r="AD4" s="136"/>
      <c r="AE4" s="142">
        <v>7</v>
      </c>
      <c r="AF4" s="142"/>
      <c r="AG4" s="136" t="s">
        <v>100</v>
      </c>
      <c r="AH4" s="136"/>
      <c r="AI4" s="136"/>
      <c r="AJ4" s="136"/>
      <c r="AK4" s="107">
        <v>123</v>
      </c>
    </row>
    <row r="5" spans="1:37" ht="17.25" customHeight="1">
      <c r="B5" s="143" t="s">
        <v>81</v>
      </c>
      <c r="C5" s="143"/>
      <c r="D5" s="143"/>
      <c r="E5" s="143"/>
      <c r="F5" s="143"/>
      <c r="G5" s="143"/>
      <c r="H5" s="143"/>
      <c r="I5" s="143"/>
      <c r="J5" s="143"/>
      <c r="K5" s="143" t="s">
        <v>48</v>
      </c>
      <c r="L5" s="143"/>
      <c r="M5" s="143"/>
      <c r="N5" s="143"/>
      <c r="O5" s="143"/>
      <c r="P5" s="143"/>
      <c r="Q5" s="143"/>
      <c r="R5" s="143"/>
      <c r="S5" s="143"/>
      <c r="T5" s="143"/>
      <c r="U5" s="143"/>
      <c r="V5" s="143"/>
      <c r="W5" s="143" t="s">
        <v>49</v>
      </c>
      <c r="X5" s="143"/>
      <c r="Y5" s="143"/>
      <c r="Z5" s="143"/>
      <c r="AA5" s="143"/>
      <c r="AB5" s="143"/>
      <c r="AC5" s="143"/>
      <c r="AD5" s="143"/>
      <c r="AE5" s="143" t="s">
        <v>50</v>
      </c>
      <c r="AF5" s="143"/>
      <c r="AG5" s="143"/>
      <c r="AH5" s="143"/>
      <c r="AI5" s="143"/>
      <c r="AJ5" s="143"/>
      <c r="AK5" s="143"/>
    </row>
    <row r="6" spans="1:37" ht="17.25" customHeight="1">
      <c r="B6" s="137" t="str">
        <f>IFERROR(VLOOKUP(StudentLookup,StudentList[],6,FALSE),"")</f>
        <v>Michelle</v>
      </c>
      <c r="C6" s="137"/>
      <c r="D6" s="137"/>
      <c r="E6" s="137"/>
      <c r="F6" s="137"/>
      <c r="G6" s="137"/>
      <c r="H6" s="137"/>
      <c r="I6" s="137"/>
      <c r="J6" s="137"/>
      <c r="K6" s="137" t="str">
        <f>IFERROR(VLOOKUP(StudentLookup,StudentList[],7,FALSE),"")</f>
        <v>Alexander</v>
      </c>
      <c r="L6" s="137"/>
      <c r="M6" s="137"/>
      <c r="N6" s="137"/>
      <c r="O6" s="137"/>
      <c r="P6" s="137"/>
      <c r="Q6" s="137"/>
      <c r="R6" s="137"/>
      <c r="S6" s="137"/>
      <c r="T6" s="137"/>
      <c r="U6" s="137"/>
      <c r="V6" s="137"/>
      <c r="W6" s="144">
        <f>IFERROR(VLOOKUP(StudentLookup,StudentList[],8,FALSE),"")</f>
        <v>1235550134</v>
      </c>
      <c r="X6" s="144"/>
      <c r="Y6" s="144"/>
      <c r="Z6" s="144"/>
      <c r="AA6" s="144"/>
      <c r="AB6" s="144"/>
      <c r="AC6" s="144"/>
      <c r="AD6" s="144"/>
      <c r="AE6" s="144">
        <f>IFERROR(VLOOKUP(StudentLookup,StudentList[],9,FALSE),"")</f>
        <v>2345550134</v>
      </c>
      <c r="AF6" s="144"/>
      <c r="AG6" s="144"/>
      <c r="AH6" s="144"/>
      <c r="AI6" s="144"/>
      <c r="AJ6" s="144"/>
      <c r="AK6" s="144"/>
    </row>
    <row r="7" spans="1:37" ht="17.25" customHeight="1">
      <c r="B7" s="143" t="s">
        <v>82</v>
      </c>
      <c r="C7" s="143"/>
      <c r="D7" s="143"/>
      <c r="E7" s="143"/>
      <c r="F7" s="143"/>
      <c r="G7" s="143"/>
      <c r="H7" s="143"/>
      <c r="I7" s="143"/>
      <c r="J7" s="143"/>
      <c r="K7" s="143" t="s">
        <v>48</v>
      </c>
      <c r="L7" s="143"/>
      <c r="M7" s="143"/>
      <c r="N7" s="143"/>
      <c r="O7" s="143"/>
      <c r="P7" s="143"/>
      <c r="Q7" s="143"/>
      <c r="R7" s="143"/>
      <c r="S7" s="143"/>
      <c r="T7" s="143"/>
      <c r="U7" s="143"/>
      <c r="V7" s="143"/>
      <c r="W7" s="143" t="s">
        <v>49</v>
      </c>
      <c r="X7" s="143"/>
      <c r="Y7" s="143"/>
      <c r="Z7" s="143"/>
      <c r="AA7" s="143"/>
      <c r="AB7" s="143"/>
      <c r="AC7" s="143"/>
      <c r="AD7" s="143"/>
      <c r="AE7" s="143" t="s">
        <v>50</v>
      </c>
      <c r="AF7" s="143"/>
      <c r="AG7" s="143"/>
      <c r="AH7" s="143"/>
      <c r="AI7" s="143"/>
      <c r="AJ7" s="143"/>
      <c r="AK7" s="143"/>
    </row>
    <row r="8" spans="1:37" ht="17.25" customHeight="1">
      <c r="B8" s="137" t="str">
        <f>IFERROR(VLOOKUP(StudentLookup,StudentList[],10,FALSE),"")</f>
        <v>Michael Alexander</v>
      </c>
      <c r="C8" s="137"/>
      <c r="D8" s="137"/>
      <c r="E8" s="137"/>
      <c r="F8" s="137"/>
      <c r="G8" s="137"/>
      <c r="H8" s="137"/>
      <c r="I8" s="137"/>
      <c r="J8" s="137"/>
      <c r="K8" s="137" t="str">
        <f>IFERROR(VLOOKUP(StudentLookup,StudentList[],11,FALSE),"")</f>
        <v>Father</v>
      </c>
      <c r="L8" s="137"/>
      <c r="M8" s="137"/>
      <c r="N8" s="137"/>
      <c r="O8" s="137"/>
      <c r="P8" s="137"/>
      <c r="Q8" s="137"/>
      <c r="R8" s="137"/>
      <c r="S8" s="137"/>
      <c r="T8" s="137"/>
      <c r="U8" s="137"/>
      <c r="V8" s="137"/>
      <c r="W8" s="144">
        <f>IFERROR(VLOOKUP(StudentLookup,StudentList[],12,FALSE),"")</f>
        <v>1235550134</v>
      </c>
      <c r="X8" s="144"/>
      <c r="Y8" s="144"/>
      <c r="Z8" s="144"/>
      <c r="AA8" s="144"/>
      <c r="AB8" s="144"/>
      <c r="AC8" s="144"/>
      <c r="AD8" s="144"/>
      <c r="AE8" s="144">
        <f>IFERROR(VLOOKUP(StudentLookup,StudentList[],13,FALSE),"")</f>
        <v>2345550134</v>
      </c>
      <c r="AF8" s="144"/>
      <c r="AG8" s="144"/>
      <c r="AH8" s="144"/>
      <c r="AI8" s="144"/>
      <c r="AJ8" s="144"/>
      <c r="AK8" s="144"/>
    </row>
    <row r="9" spans="1:37" ht="17.25" customHeight="1">
      <c r="B9" s="143" t="s">
        <v>51</v>
      </c>
      <c r="C9" s="143"/>
      <c r="D9" s="143"/>
      <c r="E9" s="143"/>
      <c r="F9" s="143"/>
      <c r="G9" s="143"/>
      <c r="H9" s="143"/>
      <c r="I9" s="143"/>
      <c r="J9" s="143"/>
      <c r="K9" s="143" t="s">
        <v>48</v>
      </c>
      <c r="L9" s="143"/>
      <c r="M9" s="143"/>
      <c r="N9" s="143"/>
      <c r="O9" s="143"/>
      <c r="P9" s="143"/>
      <c r="Q9" s="143"/>
      <c r="R9" s="143"/>
      <c r="S9" s="143"/>
      <c r="T9" s="143"/>
      <c r="U9" s="143"/>
      <c r="V9" s="143"/>
      <c r="W9" s="143" t="s">
        <v>49</v>
      </c>
      <c r="X9" s="143"/>
      <c r="Y9" s="143"/>
      <c r="Z9" s="143"/>
      <c r="AA9" s="143"/>
      <c r="AB9" s="143"/>
      <c r="AC9" s="143"/>
      <c r="AD9" s="143"/>
      <c r="AE9" s="143" t="s">
        <v>50</v>
      </c>
      <c r="AF9" s="143"/>
      <c r="AG9" s="143"/>
      <c r="AH9" s="143"/>
      <c r="AI9" s="143"/>
      <c r="AJ9" s="143"/>
      <c r="AK9" s="143"/>
    </row>
    <row r="10" spans="1:37" ht="17.25" customHeight="1">
      <c r="B10" s="137" t="str">
        <f>IFERROR(VLOOKUP(StudentLookup,StudentList[],14,FALSE),"")</f>
        <v>Reed Koch</v>
      </c>
      <c r="C10" s="137"/>
      <c r="D10" s="137"/>
      <c r="E10" s="137"/>
      <c r="F10" s="137"/>
      <c r="G10" s="137"/>
      <c r="H10" s="137"/>
      <c r="I10" s="137"/>
      <c r="J10" s="137"/>
      <c r="K10" s="137" t="str">
        <f>IFERROR(VLOOKUP(StudentLookup,StudentList[],15,FALSE),"")</f>
        <v>Grandfather</v>
      </c>
      <c r="L10" s="137"/>
      <c r="M10" s="137"/>
      <c r="N10" s="137"/>
      <c r="O10" s="137"/>
      <c r="P10" s="137"/>
      <c r="Q10" s="137"/>
      <c r="R10" s="137"/>
      <c r="S10" s="137"/>
      <c r="T10" s="137"/>
      <c r="U10" s="137"/>
      <c r="V10" s="137"/>
      <c r="W10" s="144">
        <f>IFERROR(VLOOKUP(StudentLookup,StudentList[],16,FALSE),"")</f>
        <v>7895550189</v>
      </c>
      <c r="X10" s="144"/>
      <c r="Y10" s="144"/>
      <c r="Z10" s="144"/>
      <c r="AA10" s="144"/>
      <c r="AB10" s="144"/>
      <c r="AC10" s="144"/>
      <c r="AD10" s="144"/>
      <c r="AE10" s="144">
        <f>IFERROR(VLOOKUP(StudentLookup,StudentList[],17,FALSE),"")</f>
        <v>7895550134</v>
      </c>
      <c r="AF10" s="144"/>
      <c r="AG10" s="144"/>
      <c r="AH10" s="144"/>
      <c r="AI10" s="144"/>
      <c r="AJ10" s="144"/>
      <c r="AK10" s="144"/>
    </row>
    <row r="11" spans="1:37" ht="10.5" customHeight="1">
      <c r="B11" s="70"/>
      <c r="C11" s="70"/>
      <c r="D11" s="70"/>
      <c r="E11" s="70"/>
      <c r="F11" s="70"/>
      <c r="G11" s="70"/>
      <c r="H11" s="70"/>
      <c r="I11" s="70"/>
      <c r="J11" s="70"/>
      <c r="K11" s="70"/>
      <c r="L11" s="70"/>
      <c r="M11" s="70"/>
      <c r="N11" s="70"/>
      <c r="O11" s="70"/>
      <c r="P11" s="70"/>
      <c r="Q11" s="70"/>
      <c r="R11" s="70"/>
      <c r="S11" s="70"/>
      <c r="T11" s="70"/>
      <c r="U11" s="70"/>
      <c r="V11" s="70"/>
      <c r="W11" s="71"/>
      <c r="X11" s="71"/>
      <c r="Y11" s="71"/>
      <c r="Z11" s="71"/>
      <c r="AA11" s="71"/>
      <c r="AB11" s="71"/>
      <c r="AC11" s="71"/>
      <c r="AD11" s="71"/>
      <c r="AE11" s="71"/>
      <c r="AF11" s="71"/>
      <c r="AG11" s="71"/>
      <c r="AH11" s="71"/>
      <c r="AI11" s="71"/>
      <c r="AJ11" s="71"/>
      <c r="AK11" s="71"/>
    </row>
    <row r="12" spans="1:37" ht="15.75" customHeight="1">
      <c r="B12" s="77" t="str">
        <f>August!C3</f>
        <v xml:space="preserve">COLOR KEY </v>
      </c>
      <c r="C12" s="78" t="str">
        <f>August!D3</f>
        <v>T</v>
      </c>
      <c r="D12" s="77" t="str">
        <f>August!E3</f>
        <v>Tardy</v>
      </c>
      <c r="E12" s="77"/>
      <c r="F12" s="77"/>
      <c r="G12" s="79" t="str">
        <f>August!H3</f>
        <v>E</v>
      </c>
      <c r="H12" s="77" t="str">
        <f>August!I3</f>
        <v>Excused</v>
      </c>
      <c r="I12" s="77"/>
      <c r="J12" s="77"/>
      <c r="K12" s="80" t="str">
        <f>August!L3</f>
        <v>U</v>
      </c>
      <c r="L12" s="77" t="str">
        <f>August!M3</f>
        <v>Unexcused</v>
      </c>
      <c r="M12" s="77"/>
      <c r="N12" s="77"/>
      <c r="O12" s="81"/>
      <c r="P12" s="82" t="str">
        <f>August!P3</f>
        <v>P</v>
      </c>
      <c r="Q12" s="77" t="str">
        <f>August!Q3</f>
        <v>Present</v>
      </c>
      <c r="R12" s="77"/>
      <c r="S12" s="77"/>
      <c r="T12" s="83" t="str">
        <f>August!T3</f>
        <v>N</v>
      </c>
      <c r="U12" s="84" t="str">
        <f>August!U3</f>
        <v>No School</v>
      </c>
      <c r="V12" s="85"/>
      <c r="W12" s="86"/>
      <c r="X12" s="71"/>
      <c r="Y12" s="71"/>
      <c r="Z12" s="71"/>
      <c r="AA12" s="71"/>
      <c r="AB12" s="71"/>
      <c r="AC12" s="71"/>
      <c r="AD12" s="71"/>
      <c r="AE12" s="71"/>
      <c r="AF12" s="71"/>
      <c r="AG12" s="71"/>
      <c r="AH12" s="71"/>
      <c r="AI12" s="71"/>
      <c r="AJ12" s="71"/>
      <c r="AK12" s="71"/>
    </row>
    <row r="13" spans="1:37" ht="6" customHeight="1"/>
    <row r="14" spans="1:37" ht="16.5" customHeight="1">
      <c r="B14" s="139" t="s">
        <v>88</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5" t="s">
        <v>58</v>
      </c>
      <c r="AI14" s="135"/>
      <c r="AJ14" s="135"/>
      <c r="AK14" s="135"/>
    </row>
    <row r="15" spans="1:37" ht="14" thickBot="1">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15" t="s">
        <v>37</v>
      </c>
      <c r="AI15" s="116" t="s">
        <v>39</v>
      </c>
      <c r="AJ15" s="117" t="s">
        <v>38</v>
      </c>
      <c r="AK15" s="118" t="s">
        <v>31</v>
      </c>
    </row>
    <row r="16" spans="1:37">
      <c r="B16" s="134" t="s">
        <v>59</v>
      </c>
      <c r="C16" s="108">
        <v>1</v>
      </c>
      <c r="D16" s="108">
        <v>2</v>
      </c>
      <c r="E16" s="108">
        <v>3</v>
      </c>
      <c r="F16" s="108">
        <v>4</v>
      </c>
      <c r="G16" s="108">
        <v>5</v>
      </c>
      <c r="H16" s="108">
        <v>6</v>
      </c>
      <c r="I16" s="108">
        <v>7</v>
      </c>
      <c r="J16" s="108">
        <v>8</v>
      </c>
      <c r="K16" s="108">
        <v>9</v>
      </c>
      <c r="L16" s="108">
        <v>10</v>
      </c>
      <c r="M16" s="108">
        <v>11</v>
      </c>
      <c r="N16" s="108">
        <v>12</v>
      </c>
      <c r="O16" s="108">
        <v>13</v>
      </c>
      <c r="P16" s="108">
        <v>14</v>
      </c>
      <c r="Q16" s="108">
        <v>15</v>
      </c>
      <c r="R16" s="108">
        <v>16</v>
      </c>
      <c r="S16" s="108">
        <v>17</v>
      </c>
      <c r="T16" s="108">
        <v>18</v>
      </c>
      <c r="U16" s="108">
        <v>19</v>
      </c>
      <c r="V16" s="108">
        <v>20</v>
      </c>
      <c r="W16" s="108">
        <v>21</v>
      </c>
      <c r="X16" s="108">
        <v>22</v>
      </c>
      <c r="Y16" s="108">
        <v>23</v>
      </c>
      <c r="Z16" s="108">
        <v>24</v>
      </c>
      <c r="AA16" s="108">
        <v>25</v>
      </c>
      <c r="AB16" s="108">
        <v>26</v>
      </c>
      <c r="AC16" s="108">
        <v>27</v>
      </c>
      <c r="AD16" s="108">
        <v>28</v>
      </c>
      <c r="AE16" s="108">
        <v>29</v>
      </c>
      <c r="AF16" s="108">
        <v>30</v>
      </c>
      <c r="AG16" s="108">
        <v>31</v>
      </c>
      <c r="AH16" s="129">
        <f>COUNTIF($D17:$AH17,Code1)</f>
        <v>2</v>
      </c>
      <c r="AI16" s="129">
        <f>COUNTIF($D17:$AH17,Code2)</f>
        <v>1</v>
      </c>
      <c r="AJ16" s="129">
        <f>COUNTIF($D17:$AH17,Code3)</f>
        <v>0</v>
      </c>
      <c r="AK16" s="129">
        <f>COUNTIF($D17:$AH17,Code4)</f>
        <v>19</v>
      </c>
    </row>
    <row r="17" spans="2:37">
      <c r="B17" s="131"/>
      <c r="C17" s="109" t="str">
        <f>IFERROR(VLOOKUP(StudentLookup,AugustAttendance[],3,FALSE),"")</f>
        <v>P</v>
      </c>
      <c r="D17" s="109" t="str">
        <f>IFERROR(VLOOKUP(StudentLookup,AugustAttendance[],4,FALSE),"")</f>
        <v>P</v>
      </c>
      <c r="E17" s="109" t="str">
        <f>IFERROR(VLOOKUP(StudentLookup,AugustAttendance[],5,FALSE),"")</f>
        <v>T</v>
      </c>
      <c r="F17" s="109" t="str">
        <f>IFERROR(VLOOKUP(StudentLookup,AugustAttendance[],6,FALSE),"")</f>
        <v>T</v>
      </c>
      <c r="G17" s="109" t="str">
        <f>IFERROR(VLOOKUP(StudentLookup,AugustAttendance[],7,FALSE),"")</f>
        <v>P</v>
      </c>
      <c r="H17" s="109" t="str">
        <f>IFERROR(VLOOKUP(StudentLookup,AugustAttendance[],8,FALSE),"")</f>
        <v>N</v>
      </c>
      <c r="I17" s="109" t="str">
        <f>IFERROR(VLOOKUP(StudentLookup,AugustAttendance[],9,FALSE),"")</f>
        <v>N</v>
      </c>
      <c r="J17" s="109" t="str">
        <f>IFERROR(VLOOKUP(StudentLookup,AugustAttendance[],10,FALSE),"")</f>
        <v>P</v>
      </c>
      <c r="K17" s="109" t="str">
        <f>IFERROR(VLOOKUP(StudentLookup,AugustAttendance[],11,FALSE),"")</f>
        <v>P</v>
      </c>
      <c r="L17" s="109" t="str">
        <f>IFERROR(VLOOKUP(StudentLookup,AugustAttendance[],12,FALSE),"")</f>
        <v>E</v>
      </c>
      <c r="M17" s="109" t="str">
        <f>IFERROR(VLOOKUP(StudentLookup,AugustAttendance[],13,FALSE),"")</f>
        <v>P</v>
      </c>
      <c r="N17" s="109" t="str">
        <f>IFERROR(VLOOKUP(StudentLookup,AugustAttendance[],14,FALSE),"")</f>
        <v>P</v>
      </c>
      <c r="O17" s="109" t="str">
        <f>IFERROR(VLOOKUP(StudentLookup,AugustAttendance[],15,FALSE),"")</f>
        <v>N</v>
      </c>
      <c r="P17" s="109" t="str">
        <f>IFERROR(VLOOKUP(StudentLookup,AugustAttendance[],16,FALSE),"")</f>
        <v>N</v>
      </c>
      <c r="Q17" s="109" t="str">
        <f>IFERROR(VLOOKUP(StudentLookup,AugustAttendance[],17,FALSE),"")</f>
        <v>P</v>
      </c>
      <c r="R17" s="109" t="str">
        <f>IFERROR(VLOOKUP(StudentLookup,AugustAttendance[],18,FALSE),"")</f>
        <v>P</v>
      </c>
      <c r="S17" s="109" t="str">
        <f>IFERROR(VLOOKUP(StudentLookup,AugustAttendance[],19,FALSE),"")</f>
        <v>P</v>
      </c>
      <c r="T17" s="109" t="str">
        <f>IFERROR(VLOOKUP(StudentLookup,AugustAttendance[],20,FALSE),"")</f>
        <v>P</v>
      </c>
      <c r="U17" s="109" t="str">
        <f>IFERROR(VLOOKUP(StudentLookup,AugustAttendance[],21,FALSE),"")</f>
        <v>P</v>
      </c>
      <c r="V17" s="109" t="str">
        <f>IFERROR(VLOOKUP(StudentLookup,AugustAttendance[],22,FALSE),"")</f>
        <v>N</v>
      </c>
      <c r="W17" s="109" t="str">
        <f>IFERROR(VLOOKUP(StudentLookup,AugustAttendance[],23,FALSE),"")</f>
        <v>N</v>
      </c>
      <c r="X17" s="109" t="str">
        <f>IFERROR(VLOOKUP(StudentLookup,AugustAttendance[],24,FALSE),"")</f>
        <v>P</v>
      </c>
      <c r="Y17" s="109" t="str">
        <f>IFERROR(VLOOKUP(StudentLookup,AugustAttendance[],25,FALSE),"")</f>
        <v>P</v>
      </c>
      <c r="Z17" s="109" t="str">
        <f>IFERROR(VLOOKUP(StudentLookup,AugustAttendance[],26,FALSE),"")</f>
        <v>P</v>
      </c>
      <c r="AA17" s="109" t="str">
        <f>IFERROR(VLOOKUP(StudentLookup,AugustAttendance[],27,FALSE),"")</f>
        <v>P</v>
      </c>
      <c r="AB17" s="109" t="str">
        <f>IFERROR(VLOOKUP(StudentLookup,AugustAttendance[],28,FALSE),"")</f>
        <v>P</v>
      </c>
      <c r="AC17" s="109" t="str">
        <f>IFERROR(VLOOKUP(StudentLookup,AugustAttendance[],29,FALSE),"")</f>
        <v>N</v>
      </c>
      <c r="AD17" s="109" t="str">
        <f>IFERROR(VLOOKUP(StudentLookup,AugustAttendance[],30,FALSE),"")</f>
        <v>N</v>
      </c>
      <c r="AE17" s="109" t="str">
        <f>IFERROR(VLOOKUP(StudentLookup,AugustAttendance[],31,FALSE),"")</f>
        <v>P</v>
      </c>
      <c r="AF17" s="109" t="str">
        <f>IFERROR(VLOOKUP(StudentLookup,AugustAttendance[],32,FALSE),"")</f>
        <v>P</v>
      </c>
      <c r="AG17" s="109" t="str">
        <f>IFERROR(VLOOKUP(StudentLookup,AugustAttendance[],33,FALSE),"")</f>
        <v>P</v>
      </c>
      <c r="AH17" s="132"/>
      <c r="AI17" s="132"/>
      <c r="AJ17" s="132"/>
      <c r="AK17" s="132"/>
    </row>
    <row r="18" spans="2:37">
      <c r="B18" s="131" t="s">
        <v>60</v>
      </c>
      <c r="C18" s="110">
        <v>1</v>
      </c>
      <c r="D18" s="110">
        <v>2</v>
      </c>
      <c r="E18" s="110">
        <v>3</v>
      </c>
      <c r="F18" s="110">
        <v>4</v>
      </c>
      <c r="G18" s="110">
        <v>5</v>
      </c>
      <c r="H18" s="110">
        <v>6</v>
      </c>
      <c r="I18" s="110">
        <v>7</v>
      </c>
      <c r="J18" s="110">
        <v>8</v>
      </c>
      <c r="K18" s="110">
        <v>9</v>
      </c>
      <c r="L18" s="110">
        <v>10</v>
      </c>
      <c r="M18" s="110">
        <v>11</v>
      </c>
      <c r="N18" s="110">
        <v>12</v>
      </c>
      <c r="O18" s="110">
        <v>13</v>
      </c>
      <c r="P18" s="110">
        <v>14</v>
      </c>
      <c r="Q18" s="110">
        <v>15</v>
      </c>
      <c r="R18" s="110">
        <v>16</v>
      </c>
      <c r="S18" s="110">
        <v>17</v>
      </c>
      <c r="T18" s="110">
        <v>18</v>
      </c>
      <c r="U18" s="110">
        <v>19</v>
      </c>
      <c r="V18" s="110">
        <v>20</v>
      </c>
      <c r="W18" s="110">
        <v>21</v>
      </c>
      <c r="X18" s="110">
        <v>22</v>
      </c>
      <c r="Y18" s="110">
        <v>23</v>
      </c>
      <c r="Z18" s="110">
        <v>24</v>
      </c>
      <c r="AA18" s="110">
        <v>25</v>
      </c>
      <c r="AB18" s="110">
        <v>26</v>
      </c>
      <c r="AC18" s="110">
        <v>27</v>
      </c>
      <c r="AD18" s="110">
        <v>28</v>
      </c>
      <c r="AE18" s="110">
        <v>29</v>
      </c>
      <c r="AF18" s="110">
        <v>30</v>
      </c>
      <c r="AG18" s="110"/>
      <c r="AH18" s="132">
        <f>COUNTIF($D19:$AH19,Code1)</f>
        <v>0</v>
      </c>
      <c r="AI18" s="132">
        <f>COUNTIF($D19:$AH19,Code2)</f>
        <v>0</v>
      </c>
      <c r="AJ18" s="132">
        <f>COUNTIF($D19:$AH19,Code3)</f>
        <v>0</v>
      </c>
      <c r="AK18" s="132">
        <f>COUNTIF($D19:$AH19,Code4)</f>
        <v>0</v>
      </c>
    </row>
    <row r="19" spans="2:37">
      <c r="B19" s="131"/>
      <c r="C19" s="109" t="str">
        <f>IFERROR(VLOOKUP(StudentLookup,SeptemberAttendance[],3,FALSE),"")</f>
        <v/>
      </c>
      <c r="D19" s="109" t="str">
        <f>IFERROR(VLOOKUP(StudentLookup,SeptemberAttendance[],4,FALSE),"")</f>
        <v/>
      </c>
      <c r="E19" s="109" t="str">
        <f>IFERROR(VLOOKUP(StudentLookup,SeptemberAttendance[],5,FALSE),"")</f>
        <v/>
      </c>
      <c r="F19" s="109" t="str">
        <f>IFERROR(VLOOKUP(StudentLookup,SeptemberAttendance[],6,FALSE),"")</f>
        <v/>
      </c>
      <c r="G19" s="109" t="str">
        <f>IFERROR(VLOOKUP(StudentLookup,SeptemberAttendance[],7,FALSE),"")</f>
        <v/>
      </c>
      <c r="H19" s="109" t="str">
        <f>IFERROR(VLOOKUP(StudentLookup,SeptemberAttendance[],8,FALSE),"")</f>
        <v/>
      </c>
      <c r="I19" s="109" t="str">
        <f>IFERROR(VLOOKUP(StudentLookup,SeptemberAttendance[],9,FALSE),"")</f>
        <v/>
      </c>
      <c r="J19" s="109" t="str">
        <f>IFERROR(VLOOKUP(StudentLookup,SeptemberAttendance[],10,FALSE),"")</f>
        <v/>
      </c>
      <c r="K19" s="109" t="str">
        <f>IFERROR(VLOOKUP(StudentLookup,SeptemberAttendance[],11,FALSE),"")</f>
        <v/>
      </c>
      <c r="L19" s="109" t="str">
        <f>IFERROR(VLOOKUP(StudentLookup,SeptemberAttendance[],12,FALSE),"")</f>
        <v/>
      </c>
      <c r="M19" s="109" t="str">
        <f>IFERROR(VLOOKUP(StudentLookup,SeptemberAttendance[],13,FALSE),"")</f>
        <v/>
      </c>
      <c r="N19" s="109" t="str">
        <f>IFERROR(VLOOKUP(StudentLookup,SeptemberAttendance[],14,FALSE),"")</f>
        <v/>
      </c>
      <c r="O19" s="109" t="str">
        <f>IFERROR(VLOOKUP(StudentLookup,SeptemberAttendance[],15,FALSE),"")</f>
        <v/>
      </c>
      <c r="P19" s="109" t="str">
        <f>IFERROR(VLOOKUP(StudentLookup,SeptemberAttendance[],16,FALSE),"")</f>
        <v/>
      </c>
      <c r="Q19" s="109" t="str">
        <f>IFERROR(VLOOKUP(StudentLookup,SeptemberAttendance[],17,FALSE),"")</f>
        <v/>
      </c>
      <c r="R19" s="109" t="str">
        <f>IFERROR(VLOOKUP(StudentLookup,SeptemberAttendance[],18,FALSE),"")</f>
        <v/>
      </c>
      <c r="S19" s="109" t="str">
        <f>IFERROR(VLOOKUP(StudentLookup,SeptemberAttendance[],19,FALSE),"")</f>
        <v/>
      </c>
      <c r="T19" s="109" t="str">
        <f>IFERROR(VLOOKUP(StudentLookup,SeptemberAttendance[],20,FALSE),"")</f>
        <v/>
      </c>
      <c r="U19" s="109" t="str">
        <f>IFERROR(VLOOKUP(StudentLookup,SeptemberAttendance[],21,FALSE),"")</f>
        <v/>
      </c>
      <c r="V19" s="109" t="str">
        <f>IFERROR(VLOOKUP(StudentLookup,SeptemberAttendance[],22,FALSE),"")</f>
        <v/>
      </c>
      <c r="W19" s="109" t="str">
        <f>IFERROR(VLOOKUP(StudentLookup,SeptemberAttendance[],23,FALSE),"")</f>
        <v/>
      </c>
      <c r="X19" s="109" t="str">
        <f>IFERROR(VLOOKUP(StudentLookup,SeptemberAttendance[],24,FALSE),"")</f>
        <v/>
      </c>
      <c r="Y19" s="109" t="str">
        <f>IFERROR(VLOOKUP(StudentLookup,SeptemberAttendance[],25,FALSE),"")</f>
        <v/>
      </c>
      <c r="Z19" s="109" t="str">
        <f>IFERROR(VLOOKUP(StudentLookup,SeptemberAttendance[],26,FALSE),"")</f>
        <v/>
      </c>
      <c r="AA19" s="109" t="str">
        <f>IFERROR(VLOOKUP(StudentLookup,SeptemberAttendance[],27,FALSE),"")</f>
        <v/>
      </c>
      <c r="AB19" s="109" t="str">
        <f>IFERROR(VLOOKUP(StudentLookup,SeptemberAttendance[],28,FALSE),"")</f>
        <v/>
      </c>
      <c r="AC19" s="109" t="str">
        <f>IFERROR(VLOOKUP(StudentLookup,SeptemberAttendance[],29,FALSE),"")</f>
        <v/>
      </c>
      <c r="AD19" s="109" t="str">
        <f>IFERROR(VLOOKUP(StudentLookup,SeptemberAttendance[],30,FALSE),"")</f>
        <v/>
      </c>
      <c r="AE19" s="109" t="str">
        <f>IFERROR(VLOOKUP(StudentLookup,SeptemberAttendance[],31,FALSE),"")</f>
        <v/>
      </c>
      <c r="AF19" s="109" t="str">
        <f>IFERROR(VLOOKUP(StudentLookup,SeptemberAttendance[],32,FALSE),"")</f>
        <v/>
      </c>
      <c r="AG19" s="109"/>
      <c r="AH19" s="132"/>
      <c r="AI19" s="132"/>
      <c r="AJ19" s="132"/>
      <c r="AK19" s="132"/>
    </row>
    <row r="20" spans="2:37">
      <c r="B20" s="131" t="s">
        <v>61</v>
      </c>
      <c r="C20" s="110">
        <v>1</v>
      </c>
      <c r="D20" s="110">
        <v>2</v>
      </c>
      <c r="E20" s="110">
        <v>3</v>
      </c>
      <c r="F20" s="110">
        <v>4</v>
      </c>
      <c r="G20" s="110">
        <v>5</v>
      </c>
      <c r="H20" s="110">
        <v>6</v>
      </c>
      <c r="I20" s="110">
        <v>7</v>
      </c>
      <c r="J20" s="110">
        <v>8</v>
      </c>
      <c r="K20" s="110">
        <v>9</v>
      </c>
      <c r="L20" s="110">
        <v>10</v>
      </c>
      <c r="M20" s="110">
        <v>11</v>
      </c>
      <c r="N20" s="110">
        <v>12</v>
      </c>
      <c r="O20" s="110">
        <v>13</v>
      </c>
      <c r="P20" s="110">
        <v>14</v>
      </c>
      <c r="Q20" s="110">
        <v>15</v>
      </c>
      <c r="R20" s="110">
        <v>16</v>
      </c>
      <c r="S20" s="110">
        <v>17</v>
      </c>
      <c r="T20" s="110">
        <v>18</v>
      </c>
      <c r="U20" s="110">
        <v>19</v>
      </c>
      <c r="V20" s="110">
        <v>20</v>
      </c>
      <c r="W20" s="110">
        <v>21</v>
      </c>
      <c r="X20" s="110">
        <v>22</v>
      </c>
      <c r="Y20" s="110">
        <v>23</v>
      </c>
      <c r="Z20" s="110">
        <v>24</v>
      </c>
      <c r="AA20" s="110">
        <v>25</v>
      </c>
      <c r="AB20" s="110">
        <v>26</v>
      </c>
      <c r="AC20" s="110">
        <v>27</v>
      </c>
      <c r="AD20" s="110">
        <v>28</v>
      </c>
      <c r="AE20" s="110">
        <v>29</v>
      </c>
      <c r="AF20" s="110">
        <v>30</v>
      </c>
      <c r="AG20" s="110">
        <v>31</v>
      </c>
      <c r="AH20" s="132">
        <f>COUNTIF($D21:$AH21,Code1)</f>
        <v>0</v>
      </c>
      <c r="AI20" s="132">
        <f>COUNTIF($D21:$AH21,Code2)</f>
        <v>0</v>
      </c>
      <c r="AJ20" s="132">
        <f>COUNTIF($D21:$AH21,Code3)</f>
        <v>0</v>
      </c>
      <c r="AK20" s="132">
        <f>COUNTIF($D21:$AH21,Code4)</f>
        <v>0</v>
      </c>
    </row>
    <row r="21" spans="2:37">
      <c r="B21" s="131"/>
      <c r="C21" s="109" t="str">
        <f>IFERROR(VLOOKUP(StudentLookup,OctoberAttendance[],3,FALSE),"")</f>
        <v/>
      </c>
      <c r="D21" s="109" t="str">
        <f>IFERROR(VLOOKUP(StudentLookup,OctoberAttendance[],4,FALSE),"")</f>
        <v/>
      </c>
      <c r="E21" s="109" t="str">
        <f>IFERROR(VLOOKUP(StudentLookup,OctoberAttendance[],5,FALSE),"")</f>
        <v/>
      </c>
      <c r="F21" s="109" t="str">
        <f>IFERROR(VLOOKUP(StudentLookup,OctoberAttendance[],6,FALSE),"")</f>
        <v/>
      </c>
      <c r="G21" s="109" t="str">
        <f>IFERROR(VLOOKUP(StudentLookup,OctoberAttendance[],7,FALSE),"")</f>
        <v/>
      </c>
      <c r="H21" s="109" t="str">
        <f>IFERROR(VLOOKUP(StudentLookup,OctoberAttendance[],8,FALSE),"")</f>
        <v/>
      </c>
      <c r="I21" s="109" t="str">
        <f>IFERROR(VLOOKUP(StudentLookup,OctoberAttendance[],9,FALSE),"")</f>
        <v/>
      </c>
      <c r="J21" s="109" t="str">
        <f>IFERROR(VLOOKUP(StudentLookup,OctoberAttendance[],10,FALSE),"")</f>
        <v/>
      </c>
      <c r="K21" s="109" t="str">
        <f>IFERROR(VLOOKUP(StudentLookup,OctoberAttendance[],11,FALSE),"")</f>
        <v/>
      </c>
      <c r="L21" s="109" t="str">
        <f>IFERROR(VLOOKUP(StudentLookup,OctoberAttendance[],12,FALSE),"")</f>
        <v/>
      </c>
      <c r="M21" s="109" t="str">
        <f>IFERROR(VLOOKUP(StudentLookup,OctoberAttendance[],13,FALSE),"")</f>
        <v/>
      </c>
      <c r="N21" s="109" t="str">
        <f>IFERROR(VLOOKUP(StudentLookup,OctoberAttendance[],14,FALSE),"")</f>
        <v/>
      </c>
      <c r="O21" s="109" t="str">
        <f>IFERROR(VLOOKUP(StudentLookup,OctoberAttendance[],15,FALSE),"")</f>
        <v/>
      </c>
      <c r="P21" s="109" t="str">
        <f>IFERROR(VLOOKUP(StudentLookup,OctoberAttendance[],16,FALSE),"")</f>
        <v/>
      </c>
      <c r="Q21" s="109" t="str">
        <f>IFERROR(VLOOKUP(StudentLookup,OctoberAttendance[],17,FALSE),"")</f>
        <v/>
      </c>
      <c r="R21" s="109" t="str">
        <f>IFERROR(VLOOKUP(StudentLookup,OctoberAttendance[],18,FALSE),"")</f>
        <v/>
      </c>
      <c r="S21" s="109" t="str">
        <f>IFERROR(VLOOKUP(StudentLookup,OctoberAttendance[],19,FALSE),"")</f>
        <v/>
      </c>
      <c r="T21" s="109" t="str">
        <f>IFERROR(VLOOKUP(StudentLookup,OctoberAttendance[],20,FALSE),"")</f>
        <v/>
      </c>
      <c r="U21" s="109" t="str">
        <f>IFERROR(VLOOKUP(StudentLookup,OctoberAttendance[],21,FALSE),"")</f>
        <v/>
      </c>
      <c r="V21" s="109" t="str">
        <f>IFERROR(VLOOKUP(StudentLookup,OctoberAttendance[],22,FALSE),"")</f>
        <v/>
      </c>
      <c r="W21" s="109" t="str">
        <f>IFERROR(VLOOKUP(StudentLookup,OctoberAttendance[],23,FALSE),"")</f>
        <v/>
      </c>
      <c r="X21" s="109" t="str">
        <f>IFERROR(VLOOKUP(StudentLookup,OctoberAttendance[],24,FALSE),"")</f>
        <v/>
      </c>
      <c r="Y21" s="109" t="str">
        <f>IFERROR(VLOOKUP(StudentLookup,OctoberAttendance[],25,FALSE),"")</f>
        <v/>
      </c>
      <c r="Z21" s="109" t="str">
        <f>IFERROR(VLOOKUP(StudentLookup,OctoberAttendance[],26,FALSE),"")</f>
        <v/>
      </c>
      <c r="AA21" s="109" t="str">
        <f>IFERROR(VLOOKUP(StudentLookup,OctoberAttendance[],27,FALSE),"")</f>
        <v/>
      </c>
      <c r="AB21" s="109" t="str">
        <f>IFERROR(VLOOKUP(StudentLookup,OctoberAttendance[],28,FALSE),"")</f>
        <v/>
      </c>
      <c r="AC21" s="109" t="str">
        <f>IFERROR(VLOOKUP(StudentLookup,OctoberAttendance[],29,FALSE),"")</f>
        <v/>
      </c>
      <c r="AD21" s="109" t="str">
        <f>IFERROR(VLOOKUP(StudentLookup,OctoberAttendance[],30,FALSE),"")</f>
        <v/>
      </c>
      <c r="AE21" s="109" t="str">
        <f>IFERROR(VLOOKUP(StudentLookup,OctoberAttendance[],31,FALSE),"")</f>
        <v/>
      </c>
      <c r="AF21" s="109" t="str">
        <f>IFERROR(VLOOKUP(StudentLookup,OctoberAttendance[],32,FALSE),"")</f>
        <v/>
      </c>
      <c r="AG21" s="109" t="str">
        <f>IFERROR(VLOOKUP(StudentLookup,OctoberAttendance[],33,FALSE),"")</f>
        <v/>
      </c>
      <c r="AH21" s="132"/>
      <c r="AI21" s="132"/>
      <c r="AJ21" s="132"/>
      <c r="AK21" s="132"/>
    </row>
    <row r="22" spans="2:37">
      <c r="B22" s="131" t="s">
        <v>62</v>
      </c>
      <c r="C22" s="110">
        <v>1</v>
      </c>
      <c r="D22" s="110">
        <v>2</v>
      </c>
      <c r="E22" s="110">
        <v>3</v>
      </c>
      <c r="F22" s="110">
        <v>4</v>
      </c>
      <c r="G22" s="110">
        <v>5</v>
      </c>
      <c r="H22" s="110">
        <v>6</v>
      </c>
      <c r="I22" s="110">
        <v>7</v>
      </c>
      <c r="J22" s="110">
        <v>8</v>
      </c>
      <c r="K22" s="110">
        <v>9</v>
      </c>
      <c r="L22" s="110">
        <v>10</v>
      </c>
      <c r="M22" s="110">
        <v>11</v>
      </c>
      <c r="N22" s="110">
        <v>12</v>
      </c>
      <c r="O22" s="110">
        <v>13</v>
      </c>
      <c r="P22" s="110">
        <v>14</v>
      </c>
      <c r="Q22" s="110">
        <v>15</v>
      </c>
      <c r="R22" s="110">
        <v>16</v>
      </c>
      <c r="S22" s="110">
        <v>17</v>
      </c>
      <c r="T22" s="110">
        <v>18</v>
      </c>
      <c r="U22" s="110">
        <v>19</v>
      </c>
      <c r="V22" s="110">
        <v>20</v>
      </c>
      <c r="W22" s="110">
        <v>21</v>
      </c>
      <c r="X22" s="110">
        <v>22</v>
      </c>
      <c r="Y22" s="110">
        <v>23</v>
      </c>
      <c r="Z22" s="110">
        <v>24</v>
      </c>
      <c r="AA22" s="110">
        <v>25</v>
      </c>
      <c r="AB22" s="110">
        <v>26</v>
      </c>
      <c r="AC22" s="110">
        <v>27</v>
      </c>
      <c r="AD22" s="110">
        <v>28</v>
      </c>
      <c r="AE22" s="110">
        <v>29</v>
      </c>
      <c r="AF22" s="110">
        <v>30</v>
      </c>
      <c r="AG22" s="110"/>
      <c r="AH22" s="132">
        <f>COUNTIF($D23:$AH23,Code1)</f>
        <v>0</v>
      </c>
      <c r="AI22" s="132">
        <f>COUNTIF($D23:$AH23,Code2)</f>
        <v>0</v>
      </c>
      <c r="AJ22" s="132">
        <f>COUNTIF($D23:$AH23,Code3)</f>
        <v>0</v>
      </c>
      <c r="AK22" s="132">
        <f>COUNTIF($D23:$AH23,Code4)</f>
        <v>0</v>
      </c>
    </row>
    <row r="23" spans="2:37">
      <c r="B23" s="131"/>
      <c r="C23" s="109" t="str">
        <f>IFERROR(VLOOKUP(StudentLookup,NovemberAttendance[],3,FALSE),"")</f>
        <v/>
      </c>
      <c r="D23" s="109" t="str">
        <f>IFERROR(VLOOKUP(StudentLookup,NovemberAttendance[],4,FALSE),"")</f>
        <v/>
      </c>
      <c r="E23" s="109" t="str">
        <f>IFERROR(VLOOKUP(StudentLookup,NovemberAttendance[],5,FALSE),"")</f>
        <v/>
      </c>
      <c r="F23" s="109" t="str">
        <f>IFERROR(VLOOKUP(StudentLookup,NovemberAttendance[],6,FALSE),"")</f>
        <v/>
      </c>
      <c r="G23" s="109" t="str">
        <f>IFERROR(VLOOKUP(StudentLookup,NovemberAttendance[],7,FALSE),"")</f>
        <v/>
      </c>
      <c r="H23" s="109" t="str">
        <f>IFERROR(VLOOKUP(StudentLookup,NovemberAttendance[],8,FALSE),"")</f>
        <v/>
      </c>
      <c r="I23" s="109" t="str">
        <f>IFERROR(VLOOKUP(StudentLookup,NovemberAttendance[],9,FALSE),"")</f>
        <v/>
      </c>
      <c r="J23" s="109" t="str">
        <f>IFERROR(VLOOKUP(StudentLookup,NovemberAttendance[],10,FALSE),"")</f>
        <v/>
      </c>
      <c r="K23" s="109" t="str">
        <f>IFERROR(VLOOKUP(StudentLookup,NovemberAttendance[],11,FALSE),"")</f>
        <v/>
      </c>
      <c r="L23" s="109" t="str">
        <f>IFERROR(VLOOKUP(StudentLookup,NovemberAttendance[],12,FALSE),"")</f>
        <v/>
      </c>
      <c r="M23" s="109" t="str">
        <f>IFERROR(VLOOKUP(StudentLookup,NovemberAttendance[],13,FALSE),"")</f>
        <v/>
      </c>
      <c r="N23" s="109" t="str">
        <f>IFERROR(VLOOKUP(StudentLookup,NovemberAttendance[],14,FALSE),"")</f>
        <v/>
      </c>
      <c r="O23" s="109" t="str">
        <f>IFERROR(VLOOKUP(StudentLookup,NovemberAttendance[],15,FALSE),"")</f>
        <v/>
      </c>
      <c r="P23" s="109" t="str">
        <f>IFERROR(VLOOKUP(StudentLookup,NovemberAttendance[],16,FALSE),"")</f>
        <v/>
      </c>
      <c r="Q23" s="109" t="str">
        <f>IFERROR(VLOOKUP(StudentLookup,NovemberAttendance[],17,FALSE),"")</f>
        <v/>
      </c>
      <c r="R23" s="109" t="str">
        <f>IFERROR(VLOOKUP(StudentLookup,NovemberAttendance[],18,FALSE),"")</f>
        <v/>
      </c>
      <c r="S23" s="109" t="str">
        <f>IFERROR(VLOOKUP(StudentLookup,NovemberAttendance[],19,FALSE),"")</f>
        <v/>
      </c>
      <c r="T23" s="109" t="str">
        <f>IFERROR(VLOOKUP(StudentLookup,NovemberAttendance[],20,FALSE),"")</f>
        <v/>
      </c>
      <c r="U23" s="109" t="str">
        <f>IFERROR(VLOOKUP(StudentLookup,NovemberAttendance[],21,FALSE),"")</f>
        <v/>
      </c>
      <c r="V23" s="109" t="str">
        <f>IFERROR(VLOOKUP(StudentLookup,NovemberAttendance[],22,FALSE),"")</f>
        <v/>
      </c>
      <c r="W23" s="109" t="str">
        <f>IFERROR(VLOOKUP(StudentLookup,NovemberAttendance[],23,FALSE),"")</f>
        <v/>
      </c>
      <c r="X23" s="109" t="str">
        <f>IFERROR(VLOOKUP(StudentLookup,NovemberAttendance[],24,FALSE),"")</f>
        <v/>
      </c>
      <c r="Y23" s="109" t="str">
        <f>IFERROR(VLOOKUP(StudentLookup,NovemberAttendance[],25,FALSE),"")</f>
        <v/>
      </c>
      <c r="Z23" s="109" t="str">
        <f>IFERROR(VLOOKUP(StudentLookup,NovemberAttendance[],26,FALSE),"")</f>
        <v/>
      </c>
      <c r="AA23" s="109" t="str">
        <f>IFERROR(VLOOKUP(StudentLookup,NovemberAttendance[],27,FALSE),"")</f>
        <v/>
      </c>
      <c r="AB23" s="109" t="str">
        <f>IFERROR(VLOOKUP(StudentLookup,NovemberAttendance[],28,FALSE),"")</f>
        <v/>
      </c>
      <c r="AC23" s="109" t="str">
        <f>IFERROR(VLOOKUP(StudentLookup,NovemberAttendance[],29,FALSE),"")</f>
        <v/>
      </c>
      <c r="AD23" s="109" t="str">
        <f>IFERROR(VLOOKUP(StudentLookup,NovemberAttendance[],30,FALSE),"")</f>
        <v/>
      </c>
      <c r="AE23" s="109" t="str">
        <f>IFERROR(VLOOKUP(StudentLookup,NovemberAttendance[],31,FALSE),"")</f>
        <v/>
      </c>
      <c r="AF23" s="109" t="str">
        <f>IFERROR(VLOOKUP(StudentLookup,NovemberAttendance[],32,FALSE),"")</f>
        <v/>
      </c>
      <c r="AG23" s="109"/>
      <c r="AH23" s="132"/>
      <c r="AI23" s="132"/>
      <c r="AJ23" s="132"/>
      <c r="AK23" s="132"/>
    </row>
    <row r="24" spans="2:37">
      <c r="B24" s="131" t="s">
        <v>63</v>
      </c>
      <c r="C24" s="110">
        <v>1</v>
      </c>
      <c r="D24" s="110">
        <v>2</v>
      </c>
      <c r="E24" s="110">
        <v>3</v>
      </c>
      <c r="F24" s="110">
        <v>4</v>
      </c>
      <c r="G24" s="110">
        <v>5</v>
      </c>
      <c r="H24" s="110">
        <v>6</v>
      </c>
      <c r="I24" s="110">
        <v>7</v>
      </c>
      <c r="J24" s="110">
        <v>8</v>
      </c>
      <c r="K24" s="110">
        <v>9</v>
      </c>
      <c r="L24" s="110">
        <v>10</v>
      </c>
      <c r="M24" s="110">
        <v>11</v>
      </c>
      <c r="N24" s="110">
        <v>12</v>
      </c>
      <c r="O24" s="110">
        <v>13</v>
      </c>
      <c r="P24" s="110">
        <v>14</v>
      </c>
      <c r="Q24" s="110">
        <v>15</v>
      </c>
      <c r="R24" s="110">
        <v>16</v>
      </c>
      <c r="S24" s="110">
        <v>17</v>
      </c>
      <c r="T24" s="110">
        <v>18</v>
      </c>
      <c r="U24" s="110">
        <v>19</v>
      </c>
      <c r="V24" s="110">
        <v>20</v>
      </c>
      <c r="W24" s="110">
        <v>21</v>
      </c>
      <c r="X24" s="110">
        <v>22</v>
      </c>
      <c r="Y24" s="110">
        <v>23</v>
      </c>
      <c r="Z24" s="110">
        <v>24</v>
      </c>
      <c r="AA24" s="110">
        <v>25</v>
      </c>
      <c r="AB24" s="110">
        <v>26</v>
      </c>
      <c r="AC24" s="110">
        <v>27</v>
      </c>
      <c r="AD24" s="110">
        <v>28</v>
      </c>
      <c r="AE24" s="110">
        <v>29</v>
      </c>
      <c r="AF24" s="110">
        <v>30</v>
      </c>
      <c r="AG24" s="110">
        <v>31</v>
      </c>
      <c r="AH24" s="132">
        <f>COUNTIF($D25:$AH25,Code1)</f>
        <v>0</v>
      </c>
      <c r="AI24" s="132">
        <f>COUNTIF($D25:$AH25,Code2)</f>
        <v>0</v>
      </c>
      <c r="AJ24" s="132">
        <f>COUNTIF($D25:$AH25,Code3)</f>
        <v>0</v>
      </c>
      <c r="AK24" s="132">
        <f>COUNTIF($D25:$AH25,Code4)</f>
        <v>0</v>
      </c>
    </row>
    <row r="25" spans="2:37">
      <c r="B25" s="131"/>
      <c r="C25" s="109" t="str">
        <f>IFERROR(VLOOKUP(StudentLookup,DecemberAttendance[],3,FALSE),"")</f>
        <v/>
      </c>
      <c r="D25" s="109" t="str">
        <f>IFERROR(VLOOKUP(StudentLookup,DecemberAttendance[],4,FALSE),"")</f>
        <v/>
      </c>
      <c r="E25" s="109" t="str">
        <f>IFERROR(VLOOKUP(StudentLookup,DecemberAttendance[],5,FALSE),"")</f>
        <v/>
      </c>
      <c r="F25" s="109" t="str">
        <f>IFERROR(VLOOKUP(StudentLookup,DecemberAttendance[],6,FALSE),"")</f>
        <v/>
      </c>
      <c r="G25" s="109" t="str">
        <f>IFERROR(VLOOKUP(StudentLookup,DecemberAttendance[],7,FALSE),"")</f>
        <v/>
      </c>
      <c r="H25" s="109" t="str">
        <f>IFERROR(VLOOKUP(StudentLookup,DecemberAttendance[],8,FALSE),"")</f>
        <v/>
      </c>
      <c r="I25" s="109" t="str">
        <f>IFERROR(VLOOKUP(StudentLookup,DecemberAttendance[],9,FALSE),"")</f>
        <v/>
      </c>
      <c r="J25" s="109" t="str">
        <f>IFERROR(VLOOKUP(StudentLookup,DecemberAttendance[],10,FALSE),"")</f>
        <v/>
      </c>
      <c r="K25" s="109" t="str">
        <f>IFERROR(VLOOKUP(StudentLookup,DecemberAttendance[],11,FALSE),"")</f>
        <v/>
      </c>
      <c r="L25" s="109" t="str">
        <f>IFERROR(VLOOKUP(StudentLookup,DecemberAttendance[],12,FALSE),"")</f>
        <v/>
      </c>
      <c r="M25" s="109" t="str">
        <f>IFERROR(VLOOKUP(StudentLookup,DecemberAttendance[],13,FALSE),"")</f>
        <v/>
      </c>
      <c r="N25" s="109" t="str">
        <f>IFERROR(VLOOKUP(StudentLookup,DecemberAttendance[],14,FALSE),"")</f>
        <v/>
      </c>
      <c r="O25" s="109" t="str">
        <f>IFERROR(VLOOKUP(StudentLookup,DecemberAttendance[],15,FALSE),"")</f>
        <v/>
      </c>
      <c r="P25" s="109" t="str">
        <f>IFERROR(VLOOKUP(StudentLookup,DecemberAttendance[],16,FALSE),"")</f>
        <v/>
      </c>
      <c r="Q25" s="109" t="str">
        <f>IFERROR(VLOOKUP(StudentLookup,DecemberAttendance[],17,FALSE),"")</f>
        <v/>
      </c>
      <c r="R25" s="109" t="str">
        <f>IFERROR(VLOOKUP(StudentLookup,DecemberAttendance[],18,FALSE),"")</f>
        <v/>
      </c>
      <c r="S25" s="109" t="str">
        <f>IFERROR(VLOOKUP(StudentLookup,DecemberAttendance[],19,FALSE),"")</f>
        <v/>
      </c>
      <c r="T25" s="109" t="str">
        <f>IFERROR(VLOOKUP(StudentLookup,DecemberAttendance[],20,FALSE),"")</f>
        <v/>
      </c>
      <c r="U25" s="109" t="str">
        <f>IFERROR(VLOOKUP(StudentLookup,DecemberAttendance[],21,FALSE),"")</f>
        <v/>
      </c>
      <c r="V25" s="109" t="str">
        <f>IFERROR(VLOOKUP(StudentLookup,DecemberAttendance[],22,FALSE),"")</f>
        <v/>
      </c>
      <c r="W25" s="109" t="str">
        <f>IFERROR(VLOOKUP(StudentLookup,DecemberAttendance[],23,FALSE),"")</f>
        <v/>
      </c>
      <c r="X25" s="109" t="str">
        <f>IFERROR(VLOOKUP(StudentLookup,DecemberAttendance[],24,FALSE),"")</f>
        <v/>
      </c>
      <c r="Y25" s="109" t="str">
        <f>IFERROR(VLOOKUP(StudentLookup,DecemberAttendance[],25,FALSE),"")</f>
        <v/>
      </c>
      <c r="Z25" s="109" t="str">
        <f>IFERROR(VLOOKUP(StudentLookup,DecemberAttendance[],26,FALSE),"")</f>
        <v/>
      </c>
      <c r="AA25" s="109" t="str">
        <f>IFERROR(VLOOKUP(StudentLookup,DecemberAttendance[],27,FALSE),"")</f>
        <v/>
      </c>
      <c r="AB25" s="109" t="str">
        <f>IFERROR(VLOOKUP(StudentLookup,DecemberAttendance[],28,FALSE),"")</f>
        <v/>
      </c>
      <c r="AC25" s="109" t="str">
        <f>IFERROR(VLOOKUP(StudentLookup,DecemberAttendance[],29,FALSE),"")</f>
        <v/>
      </c>
      <c r="AD25" s="109" t="str">
        <f>IFERROR(VLOOKUP(StudentLookup,DecemberAttendance[],30,FALSE),"")</f>
        <v/>
      </c>
      <c r="AE25" s="109" t="str">
        <f>IFERROR(VLOOKUP(StudentLookup,DecemberAttendance[],31,FALSE),"")</f>
        <v/>
      </c>
      <c r="AF25" s="109" t="str">
        <f>IFERROR(VLOOKUP(StudentLookup,DecemberAttendance[],32,FALSE),"")</f>
        <v/>
      </c>
      <c r="AG25" s="109" t="str">
        <f>IFERROR(VLOOKUP(StudentLookup,DecemberAttendance[],33,FALSE),"")</f>
        <v/>
      </c>
      <c r="AH25" s="132"/>
      <c r="AI25" s="132"/>
      <c r="AJ25" s="132"/>
      <c r="AK25" s="132"/>
    </row>
    <row r="26" spans="2:37">
      <c r="B26" s="131" t="s">
        <v>64</v>
      </c>
      <c r="C26" s="110">
        <v>1</v>
      </c>
      <c r="D26" s="110">
        <v>2</v>
      </c>
      <c r="E26" s="110">
        <v>3</v>
      </c>
      <c r="F26" s="110">
        <v>4</v>
      </c>
      <c r="G26" s="110">
        <v>5</v>
      </c>
      <c r="H26" s="110">
        <v>6</v>
      </c>
      <c r="I26" s="110">
        <v>7</v>
      </c>
      <c r="J26" s="110">
        <v>8</v>
      </c>
      <c r="K26" s="110">
        <v>9</v>
      </c>
      <c r="L26" s="110">
        <v>10</v>
      </c>
      <c r="M26" s="110">
        <v>11</v>
      </c>
      <c r="N26" s="110">
        <v>12</v>
      </c>
      <c r="O26" s="110">
        <v>13</v>
      </c>
      <c r="P26" s="110">
        <v>14</v>
      </c>
      <c r="Q26" s="110">
        <v>15</v>
      </c>
      <c r="R26" s="110">
        <v>16</v>
      </c>
      <c r="S26" s="110">
        <v>17</v>
      </c>
      <c r="T26" s="110">
        <v>18</v>
      </c>
      <c r="U26" s="110">
        <v>19</v>
      </c>
      <c r="V26" s="110">
        <v>20</v>
      </c>
      <c r="W26" s="110">
        <v>21</v>
      </c>
      <c r="X26" s="110">
        <v>22</v>
      </c>
      <c r="Y26" s="110">
        <v>23</v>
      </c>
      <c r="Z26" s="110">
        <v>24</v>
      </c>
      <c r="AA26" s="110">
        <v>25</v>
      </c>
      <c r="AB26" s="110">
        <v>26</v>
      </c>
      <c r="AC26" s="110">
        <v>27</v>
      </c>
      <c r="AD26" s="110">
        <v>28</v>
      </c>
      <c r="AE26" s="110">
        <v>29</v>
      </c>
      <c r="AF26" s="110">
        <v>30</v>
      </c>
      <c r="AG26" s="110">
        <v>31</v>
      </c>
      <c r="AH26" s="132">
        <f>COUNTIF($D27:$AH27,Code1)</f>
        <v>0</v>
      </c>
      <c r="AI26" s="132">
        <f>COUNTIF($D27:$AH27,Code2)</f>
        <v>0</v>
      </c>
      <c r="AJ26" s="132">
        <f>COUNTIF($D27:$AH27,Code3)</f>
        <v>0</v>
      </c>
      <c r="AK26" s="132">
        <f>COUNTIF($D27:$AH27,Code4)</f>
        <v>0</v>
      </c>
    </row>
    <row r="27" spans="2:37">
      <c r="B27" s="131"/>
      <c r="C27" s="109" t="str">
        <f>IFERROR(VLOOKUP(StudentLookup,JanuaryAttendance[],3,FALSE),"")</f>
        <v/>
      </c>
      <c r="D27" s="109" t="str">
        <f>IFERROR(VLOOKUP(StudentLookup,JanuaryAttendance[],4,FALSE),"")</f>
        <v/>
      </c>
      <c r="E27" s="109" t="str">
        <f>IFERROR(VLOOKUP(StudentLookup,JanuaryAttendance[],5,FALSE),"")</f>
        <v/>
      </c>
      <c r="F27" s="109" t="str">
        <f>IFERROR(VLOOKUP(StudentLookup,JanuaryAttendance[],6,FALSE),"")</f>
        <v/>
      </c>
      <c r="G27" s="109" t="str">
        <f>IFERROR(VLOOKUP(StudentLookup,JanuaryAttendance[],7,FALSE),"")</f>
        <v/>
      </c>
      <c r="H27" s="109" t="str">
        <f>IFERROR(VLOOKUP(StudentLookup,JanuaryAttendance[],8,FALSE),"")</f>
        <v/>
      </c>
      <c r="I27" s="109" t="str">
        <f>IFERROR(VLOOKUP(StudentLookup,JanuaryAttendance[],9,FALSE),"")</f>
        <v/>
      </c>
      <c r="J27" s="109" t="str">
        <f>IFERROR(VLOOKUP(StudentLookup,JanuaryAttendance[],10,FALSE),"")</f>
        <v/>
      </c>
      <c r="K27" s="109" t="str">
        <f>IFERROR(VLOOKUP(StudentLookup,JanuaryAttendance[],11,FALSE),"")</f>
        <v/>
      </c>
      <c r="L27" s="109" t="str">
        <f>IFERROR(VLOOKUP(StudentLookup,JanuaryAttendance[],12,FALSE),"")</f>
        <v/>
      </c>
      <c r="M27" s="109" t="str">
        <f>IFERROR(VLOOKUP(StudentLookup,JanuaryAttendance[],13,FALSE),"")</f>
        <v/>
      </c>
      <c r="N27" s="109" t="str">
        <f>IFERROR(VLOOKUP(StudentLookup,JanuaryAttendance[],14,FALSE),"")</f>
        <v/>
      </c>
      <c r="O27" s="109" t="str">
        <f>IFERROR(VLOOKUP(StudentLookup,JanuaryAttendance[],15,FALSE),"")</f>
        <v/>
      </c>
      <c r="P27" s="109" t="str">
        <f>IFERROR(VLOOKUP(StudentLookup,JanuaryAttendance[],16,FALSE),"")</f>
        <v/>
      </c>
      <c r="Q27" s="109" t="str">
        <f>IFERROR(VLOOKUP(StudentLookup,JanuaryAttendance[],17,FALSE),"")</f>
        <v/>
      </c>
      <c r="R27" s="109" t="str">
        <f>IFERROR(VLOOKUP(StudentLookup,JanuaryAttendance[],18,FALSE),"")</f>
        <v/>
      </c>
      <c r="S27" s="109" t="str">
        <f>IFERROR(VLOOKUP(StudentLookup,JanuaryAttendance[],19,FALSE),"")</f>
        <v/>
      </c>
      <c r="T27" s="109" t="str">
        <f>IFERROR(VLOOKUP(StudentLookup,JanuaryAttendance[],20,FALSE),"")</f>
        <v/>
      </c>
      <c r="U27" s="109" t="str">
        <f>IFERROR(VLOOKUP(StudentLookup,JanuaryAttendance[],21,FALSE),"")</f>
        <v/>
      </c>
      <c r="V27" s="109" t="str">
        <f>IFERROR(VLOOKUP(StudentLookup,JanuaryAttendance[],22,FALSE),"")</f>
        <v/>
      </c>
      <c r="W27" s="109" t="str">
        <f>IFERROR(VLOOKUP(StudentLookup,JanuaryAttendance[],23,FALSE),"")</f>
        <v/>
      </c>
      <c r="X27" s="109" t="str">
        <f>IFERROR(VLOOKUP(StudentLookup,JanuaryAttendance[],24,FALSE),"")</f>
        <v/>
      </c>
      <c r="Y27" s="109" t="str">
        <f>IFERROR(VLOOKUP(StudentLookup,JanuaryAttendance[],25,FALSE),"")</f>
        <v/>
      </c>
      <c r="Z27" s="109" t="str">
        <f>IFERROR(VLOOKUP(StudentLookup,JanuaryAttendance[],26,FALSE),"")</f>
        <v/>
      </c>
      <c r="AA27" s="109" t="str">
        <f>IFERROR(VLOOKUP(StudentLookup,JanuaryAttendance[],27,FALSE),"")</f>
        <v/>
      </c>
      <c r="AB27" s="109" t="str">
        <f>IFERROR(VLOOKUP(StudentLookup,JanuaryAttendance[],28,FALSE),"")</f>
        <v/>
      </c>
      <c r="AC27" s="109" t="str">
        <f>IFERROR(VLOOKUP(StudentLookup,JanuaryAttendance[],29,FALSE),"")</f>
        <v/>
      </c>
      <c r="AD27" s="109" t="str">
        <f>IFERROR(VLOOKUP(StudentLookup,JanuaryAttendance[],30,FALSE),"")</f>
        <v/>
      </c>
      <c r="AE27" s="109" t="str">
        <f>IFERROR(VLOOKUP(StudentLookup,JanuaryAttendance[],31,FALSE),"")</f>
        <v/>
      </c>
      <c r="AF27" s="109" t="str">
        <f>IFERROR(VLOOKUP(StudentLookup,JanuaryAttendance[],32,FALSE),"")</f>
        <v/>
      </c>
      <c r="AG27" s="109" t="str">
        <f>IFERROR(VLOOKUP(StudentLookup,JanuaryAttendance[],33,FALSE),"")</f>
        <v/>
      </c>
      <c r="AH27" s="132"/>
      <c r="AI27" s="132"/>
      <c r="AJ27" s="132"/>
      <c r="AK27" s="132"/>
    </row>
    <row r="28" spans="2:37">
      <c r="B28" s="131" t="s">
        <v>65</v>
      </c>
      <c r="C28" s="110">
        <v>1</v>
      </c>
      <c r="D28" s="110">
        <v>2</v>
      </c>
      <c r="E28" s="110">
        <v>3</v>
      </c>
      <c r="F28" s="110">
        <v>4</v>
      </c>
      <c r="G28" s="110">
        <v>5</v>
      </c>
      <c r="H28" s="110">
        <v>6</v>
      </c>
      <c r="I28" s="110">
        <v>7</v>
      </c>
      <c r="J28" s="110">
        <v>8</v>
      </c>
      <c r="K28" s="110">
        <v>9</v>
      </c>
      <c r="L28" s="110">
        <v>10</v>
      </c>
      <c r="M28" s="110">
        <v>11</v>
      </c>
      <c r="N28" s="110">
        <v>12</v>
      </c>
      <c r="O28" s="110">
        <v>13</v>
      </c>
      <c r="P28" s="110">
        <v>14</v>
      </c>
      <c r="Q28" s="110">
        <v>15</v>
      </c>
      <c r="R28" s="110">
        <v>16</v>
      </c>
      <c r="S28" s="110">
        <v>17</v>
      </c>
      <c r="T28" s="110">
        <v>18</v>
      </c>
      <c r="U28" s="110">
        <v>19</v>
      </c>
      <c r="V28" s="110">
        <v>20</v>
      </c>
      <c r="W28" s="110">
        <v>21</v>
      </c>
      <c r="X28" s="110">
        <v>22</v>
      </c>
      <c r="Y28" s="110">
        <v>23</v>
      </c>
      <c r="Z28" s="110">
        <v>24</v>
      </c>
      <c r="AA28" s="110">
        <v>25</v>
      </c>
      <c r="AB28" s="110">
        <v>26</v>
      </c>
      <c r="AC28" s="110">
        <v>27</v>
      </c>
      <c r="AD28" s="110">
        <v>28</v>
      </c>
      <c r="AE28" s="110">
        <v>29</v>
      </c>
      <c r="AF28" s="110"/>
      <c r="AG28" s="110"/>
      <c r="AH28" s="132">
        <f>COUNTIF($D29:$AH29,Code1)</f>
        <v>0</v>
      </c>
      <c r="AI28" s="132">
        <f>COUNTIF($D29:$AH29,Code2)</f>
        <v>0</v>
      </c>
      <c r="AJ28" s="132">
        <f>COUNTIF($D29:$AH29,Code3)</f>
        <v>0</v>
      </c>
      <c r="AK28" s="132">
        <f>COUNTIF($D29:$AH29,Code4)</f>
        <v>0</v>
      </c>
    </row>
    <row r="29" spans="2:37">
      <c r="B29" s="131"/>
      <c r="C29" s="109" t="str">
        <f>IFERROR(VLOOKUP(StudentLookup,FebruaryAttendance[],3,FALSE),"")</f>
        <v/>
      </c>
      <c r="D29" s="109" t="str">
        <f>IFERROR(VLOOKUP(StudentLookup,FebruaryAttendance[],4,FALSE),"")</f>
        <v/>
      </c>
      <c r="E29" s="109" t="str">
        <f>IFERROR(VLOOKUP(StudentLookup,FebruaryAttendance[],5,FALSE),"")</f>
        <v/>
      </c>
      <c r="F29" s="109" t="str">
        <f>IFERROR(VLOOKUP(StudentLookup,FebruaryAttendance[],6,FALSE),"")</f>
        <v/>
      </c>
      <c r="G29" s="109" t="str">
        <f>IFERROR(VLOOKUP(StudentLookup,FebruaryAttendance[],7,FALSE),"")</f>
        <v/>
      </c>
      <c r="H29" s="109" t="str">
        <f>IFERROR(VLOOKUP(StudentLookup,FebruaryAttendance[],8,FALSE),"")</f>
        <v/>
      </c>
      <c r="I29" s="109" t="str">
        <f>IFERROR(VLOOKUP(StudentLookup,FebruaryAttendance[],9,FALSE),"")</f>
        <v/>
      </c>
      <c r="J29" s="109" t="str">
        <f>IFERROR(VLOOKUP(StudentLookup,FebruaryAttendance[],10,FALSE),"")</f>
        <v/>
      </c>
      <c r="K29" s="109" t="str">
        <f>IFERROR(VLOOKUP(StudentLookup,FebruaryAttendance[],11,FALSE),"")</f>
        <v/>
      </c>
      <c r="L29" s="109" t="str">
        <f>IFERROR(VLOOKUP(StudentLookup,FebruaryAttendance[],12,FALSE),"")</f>
        <v/>
      </c>
      <c r="M29" s="109" t="str">
        <f>IFERROR(VLOOKUP(StudentLookup,FebruaryAttendance[],13,FALSE),"")</f>
        <v/>
      </c>
      <c r="N29" s="109" t="str">
        <f>IFERROR(VLOOKUP(StudentLookup,FebruaryAttendance[],14,FALSE),"")</f>
        <v/>
      </c>
      <c r="O29" s="109" t="str">
        <f>IFERROR(VLOOKUP(StudentLookup,FebruaryAttendance[],15,FALSE),"")</f>
        <v/>
      </c>
      <c r="P29" s="109" t="str">
        <f>IFERROR(VLOOKUP(StudentLookup,FebruaryAttendance[],16,FALSE),"")</f>
        <v/>
      </c>
      <c r="Q29" s="109" t="str">
        <f>IFERROR(VLOOKUP(StudentLookup,FebruaryAttendance[],17,FALSE),"")</f>
        <v/>
      </c>
      <c r="R29" s="109" t="str">
        <f>IFERROR(VLOOKUP(StudentLookup,FebruaryAttendance[],18,FALSE),"")</f>
        <v/>
      </c>
      <c r="S29" s="109" t="str">
        <f>IFERROR(VLOOKUP(StudentLookup,FebruaryAttendance[],19,FALSE),"")</f>
        <v/>
      </c>
      <c r="T29" s="109" t="str">
        <f>IFERROR(VLOOKUP(StudentLookup,FebruaryAttendance[],20,FALSE),"")</f>
        <v/>
      </c>
      <c r="U29" s="109" t="str">
        <f>IFERROR(VLOOKUP(StudentLookup,FebruaryAttendance[],21,FALSE),"")</f>
        <v/>
      </c>
      <c r="V29" s="109" t="str">
        <f>IFERROR(VLOOKUP(StudentLookup,FebruaryAttendance[],22,FALSE),"")</f>
        <v/>
      </c>
      <c r="W29" s="109" t="str">
        <f>IFERROR(VLOOKUP(StudentLookup,FebruaryAttendance[],23,FALSE),"")</f>
        <v/>
      </c>
      <c r="X29" s="109" t="str">
        <f>IFERROR(VLOOKUP(StudentLookup,FebruaryAttendance[],24,FALSE),"")</f>
        <v/>
      </c>
      <c r="Y29" s="109" t="str">
        <f>IFERROR(VLOOKUP(StudentLookup,FebruaryAttendance[],25,FALSE),"")</f>
        <v/>
      </c>
      <c r="Z29" s="109" t="str">
        <f>IFERROR(VLOOKUP(StudentLookup,FebruaryAttendance[],26,FALSE),"")</f>
        <v/>
      </c>
      <c r="AA29" s="109" t="str">
        <f>IFERROR(VLOOKUP(StudentLookup,FebruaryAttendance[],27,FALSE),"")</f>
        <v/>
      </c>
      <c r="AB29" s="109" t="str">
        <f>IFERROR(VLOOKUP(StudentLookup,FebruaryAttendance[],28,FALSE),"")</f>
        <v/>
      </c>
      <c r="AC29" s="109" t="str">
        <f>IFERROR(VLOOKUP(StudentLookup,FebruaryAttendance[],29,FALSE),"")</f>
        <v/>
      </c>
      <c r="AD29" s="109" t="str">
        <f>IFERROR(VLOOKUP(StudentLookup,FebruaryAttendance[],30,FALSE),"")</f>
        <v/>
      </c>
      <c r="AE29" s="109" t="str">
        <f>IFERROR(VLOOKUP(StudentLookup,FebruaryAttendance[],31,FALSE),"")</f>
        <v/>
      </c>
      <c r="AF29" s="109"/>
      <c r="AG29" s="109"/>
      <c r="AH29" s="132"/>
      <c r="AI29" s="132"/>
      <c r="AJ29" s="132"/>
      <c r="AK29" s="132"/>
    </row>
    <row r="30" spans="2:37">
      <c r="B30" s="131" t="s">
        <v>66</v>
      </c>
      <c r="C30" s="110">
        <v>1</v>
      </c>
      <c r="D30" s="110">
        <v>2</v>
      </c>
      <c r="E30" s="110">
        <v>3</v>
      </c>
      <c r="F30" s="110">
        <v>4</v>
      </c>
      <c r="G30" s="110">
        <v>5</v>
      </c>
      <c r="H30" s="110">
        <v>6</v>
      </c>
      <c r="I30" s="110">
        <v>7</v>
      </c>
      <c r="J30" s="110">
        <v>8</v>
      </c>
      <c r="K30" s="110">
        <v>9</v>
      </c>
      <c r="L30" s="110">
        <v>10</v>
      </c>
      <c r="M30" s="110">
        <v>11</v>
      </c>
      <c r="N30" s="110">
        <v>12</v>
      </c>
      <c r="O30" s="110">
        <v>13</v>
      </c>
      <c r="P30" s="110">
        <v>14</v>
      </c>
      <c r="Q30" s="110">
        <v>15</v>
      </c>
      <c r="R30" s="110">
        <v>16</v>
      </c>
      <c r="S30" s="110">
        <v>17</v>
      </c>
      <c r="T30" s="110">
        <v>18</v>
      </c>
      <c r="U30" s="110">
        <v>19</v>
      </c>
      <c r="V30" s="110">
        <v>20</v>
      </c>
      <c r="W30" s="110">
        <v>21</v>
      </c>
      <c r="X30" s="110">
        <v>22</v>
      </c>
      <c r="Y30" s="110">
        <v>23</v>
      </c>
      <c r="Z30" s="110">
        <v>24</v>
      </c>
      <c r="AA30" s="110">
        <v>25</v>
      </c>
      <c r="AB30" s="110">
        <v>26</v>
      </c>
      <c r="AC30" s="110">
        <v>27</v>
      </c>
      <c r="AD30" s="110">
        <v>28</v>
      </c>
      <c r="AE30" s="110">
        <v>29</v>
      </c>
      <c r="AF30" s="110">
        <v>30</v>
      </c>
      <c r="AG30" s="110">
        <v>31</v>
      </c>
      <c r="AH30" s="132">
        <f>COUNTIF($D31:$AH31,Code1)</f>
        <v>0</v>
      </c>
      <c r="AI30" s="132">
        <f>COUNTIF($D31:$AH31,Code2)</f>
        <v>0</v>
      </c>
      <c r="AJ30" s="132">
        <f>COUNTIF($D31:$AH31,Code3)</f>
        <v>0</v>
      </c>
      <c r="AK30" s="132">
        <f>COUNTIF($D31:$AH31,Code4)</f>
        <v>0</v>
      </c>
    </row>
    <row r="31" spans="2:37">
      <c r="B31" s="131"/>
      <c r="C31" s="109" t="str">
        <f>IFERROR(VLOOKUP(StudentLookup,MarchAttendance[],3,FALSE),"")</f>
        <v/>
      </c>
      <c r="D31" s="109" t="str">
        <f>IFERROR(VLOOKUP(StudentLookup,MarchAttendance[],4,FALSE),"")</f>
        <v/>
      </c>
      <c r="E31" s="109" t="str">
        <f>IFERROR(VLOOKUP(StudentLookup,MarchAttendance[],5,FALSE),"")</f>
        <v/>
      </c>
      <c r="F31" s="109" t="str">
        <f>IFERROR(VLOOKUP(StudentLookup,MarchAttendance[],6,FALSE),"")</f>
        <v/>
      </c>
      <c r="G31" s="109" t="str">
        <f>IFERROR(VLOOKUP(StudentLookup,MarchAttendance[],7,FALSE),"")</f>
        <v/>
      </c>
      <c r="H31" s="109" t="str">
        <f>IFERROR(VLOOKUP(StudentLookup,MarchAttendance[],8,FALSE),"")</f>
        <v/>
      </c>
      <c r="I31" s="109" t="str">
        <f>IFERROR(VLOOKUP(StudentLookup,MarchAttendance[],9,FALSE),"")</f>
        <v/>
      </c>
      <c r="J31" s="109" t="str">
        <f>IFERROR(VLOOKUP(StudentLookup,MarchAttendance[],10,FALSE),"")</f>
        <v/>
      </c>
      <c r="K31" s="109" t="str">
        <f>IFERROR(VLOOKUP(StudentLookup,MarchAttendance[],11,FALSE),"")</f>
        <v/>
      </c>
      <c r="L31" s="109" t="str">
        <f>IFERROR(VLOOKUP(StudentLookup,MarchAttendance[],12,FALSE),"")</f>
        <v/>
      </c>
      <c r="M31" s="109" t="str">
        <f>IFERROR(VLOOKUP(StudentLookup,MarchAttendance[],13,FALSE),"")</f>
        <v/>
      </c>
      <c r="N31" s="109" t="str">
        <f>IFERROR(VLOOKUP(StudentLookup,MarchAttendance[],14,FALSE),"")</f>
        <v/>
      </c>
      <c r="O31" s="109" t="str">
        <f>IFERROR(VLOOKUP(StudentLookup,MarchAttendance[],15,FALSE),"")</f>
        <v/>
      </c>
      <c r="P31" s="109" t="str">
        <f>IFERROR(VLOOKUP(StudentLookup,MarchAttendance[],16,FALSE),"")</f>
        <v/>
      </c>
      <c r="Q31" s="109" t="str">
        <f>IFERROR(VLOOKUP(StudentLookup,MarchAttendance[],17,FALSE),"")</f>
        <v/>
      </c>
      <c r="R31" s="109" t="str">
        <f>IFERROR(VLOOKUP(StudentLookup,MarchAttendance[],18,FALSE),"")</f>
        <v/>
      </c>
      <c r="S31" s="109" t="str">
        <f>IFERROR(VLOOKUP(StudentLookup,MarchAttendance[],19,FALSE),"")</f>
        <v/>
      </c>
      <c r="T31" s="109" t="str">
        <f>IFERROR(VLOOKUP(StudentLookup,MarchAttendance[],20,FALSE),"")</f>
        <v/>
      </c>
      <c r="U31" s="109" t="str">
        <f>IFERROR(VLOOKUP(StudentLookup,MarchAttendance[],21,FALSE),"")</f>
        <v/>
      </c>
      <c r="V31" s="109" t="str">
        <f>IFERROR(VLOOKUP(StudentLookup,MarchAttendance[],22,FALSE),"")</f>
        <v/>
      </c>
      <c r="W31" s="109" t="str">
        <f>IFERROR(VLOOKUP(StudentLookup,MarchAttendance[],23,FALSE),"")</f>
        <v/>
      </c>
      <c r="X31" s="109" t="str">
        <f>IFERROR(VLOOKUP(StudentLookup,MarchAttendance[],24,FALSE),"")</f>
        <v/>
      </c>
      <c r="Y31" s="109" t="str">
        <f>IFERROR(VLOOKUP(StudentLookup,MarchAttendance[],25,FALSE),"")</f>
        <v/>
      </c>
      <c r="Z31" s="109" t="str">
        <f>IFERROR(VLOOKUP(StudentLookup,MarchAttendance[],26,FALSE),"")</f>
        <v/>
      </c>
      <c r="AA31" s="109" t="str">
        <f>IFERROR(VLOOKUP(StudentLookup,MarchAttendance[],27,FALSE),"")</f>
        <v/>
      </c>
      <c r="AB31" s="109" t="str">
        <f>IFERROR(VLOOKUP(StudentLookup,MarchAttendance[],28,FALSE),"")</f>
        <v/>
      </c>
      <c r="AC31" s="109" t="str">
        <f>IFERROR(VLOOKUP(StudentLookup,MarchAttendance[],29,FALSE),"")</f>
        <v/>
      </c>
      <c r="AD31" s="109" t="str">
        <f>IFERROR(VLOOKUP(StudentLookup,MarchAttendance[],30,FALSE),"")</f>
        <v/>
      </c>
      <c r="AE31" s="109" t="str">
        <f>IFERROR(VLOOKUP(StudentLookup,MarchAttendance[],31,FALSE),"")</f>
        <v/>
      </c>
      <c r="AF31" s="109" t="str">
        <f>IFERROR(VLOOKUP(StudentLookup,MarchAttendance[],32,FALSE),"")</f>
        <v/>
      </c>
      <c r="AG31" s="109" t="str">
        <f>IFERROR(VLOOKUP(StudentLookup,MarchAttendance[],33,FALSE),"")</f>
        <v/>
      </c>
      <c r="AH31" s="132"/>
      <c r="AI31" s="132"/>
      <c r="AJ31" s="132"/>
      <c r="AK31" s="132"/>
    </row>
    <row r="32" spans="2:37">
      <c r="B32" s="131" t="s">
        <v>67</v>
      </c>
      <c r="C32" s="110">
        <v>1</v>
      </c>
      <c r="D32" s="110">
        <v>2</v>
      </c>
      <c r="E32" s="110">
        <v>3</v>
      </c>
      <c r="F32" s="110">
        <v>4</v>
      </c>
      <c r="G32" s="110">
        <v>5</v>
      </c>
      <c r="H32" s="110">
        <v>6</v>
      </c>
      <c r="I32" s="110">
        <v>7</v>
      </c>
      <c r="J32" s="110">
        <v>8</v>
      </c>
      <c r="K32" s="110">
        <v>9</v>
      </c>
      <c r="L32" s="110">
        <v>10</v>
      </c>
      <c r="M32" s="110">
        <v>11</v>
      </c>
      <c r="N32" s="110">
        <v>12</v>
      </c>
      <c r="O32" s="110">
        <v>13</v>
      </c>
      <c r="P32" s="110">
        <v>14</v>
      </c>
      <c r="Q32" s="110">
        <v>15</v>
      </c>
      <c r="R32" s="110">
        <v>16</v>
      </c>
      <c r="S32" s="110">
        <v>17</v>
      </c>
      <c r="T32" s="110">
        <v>18</v>
      </c>
      <c r="U32" s="110">
        <v>19</v>
      </c>
      <c r="V32" s="110">
        <v>20</v>
      </c>
      <c r="W32" s="110">
        <v>21</v>
      </c>
      <c r="X32" s="110">
        <v>22</v>
      </c>
      <c r="Y32" s="110">
        <v>23</v>
      </c>
      <c r="Z32" s="110">
        <v>24</v>
      </c>
      <c r="AA32" s="110">
        <v>25</v>
      </c>
      <c r="AB32" s="110">
        <v>26</v>
      </c>
      <c r="AC32" s="110">
        <v>27</v>
      </c>
      <c r="AD32" s="110">
        <v>28</v>
      </c>
      <c r="AE32" s="110">
        <v>29</v>
      </c>
      <c r="AF32" s="110">
        <v>30</v>
      </c>
      <c r="AG32" s="110"/>
      <c r="AH32" s="132">
        <f>COUNTIF($D33:$AH33,Code1)</f>
        <v>0</v>
      </c>
      <c r="AI32" s="132">
        <f>COUNTIF($D33:$AH33,Code2)</f>
        <v>0</v>
      </c>
      <c r="AJ32" s="132">
        <f>COUNTIF($D33:$AH33,Code3)</f>
        <v>0</v>
      </c>
      <c r="AK32" s="132">
        <f>COUNTIF($D33:$AH33,Code4)</f>
        <v>0</v>
      </c>
    </row>
    <row r="33" spans="2:37">
      <c r="B33" s="131"/>
      <c r="C33" s="109" t="str">
        <f>IFERROR(VLOOKUP(StudentLookup,AprilAttendance[],3,FALSE),"")</f>
        <v/>
      </c>
      <c r="D33" s="109" t="str">
        <f>IFERROR(VLOOKUP(StudentLookup,AprilAttendance[],4,FALSE),"")</f>
        <v/>
      </c>
      <c r="E33" s="109" t="str">
        <f>IFERROR(VLOOKUP(StudentLookup,AprilAttendance[],5,FALSE),"")</f>
        <v/>
      </c>
      <c r="F33" s="109" t="str">
        <f>IFERROR(VLOOKUP(StudentLookup,AprilAttendance[],6,FALSE),"")</f>
        <v/>
      </c>
      <c r="G33" s="109" t="str">
        <f>IFERROR(VLOOKUP(StudentLookup,AprilAttendance[],7,FALSE),"")</f>
        <v/>
      </c>
      <c r="H33" s="109" t="str">
        <f>IFERROR(VLOOKUP(StudentLookup,AprilAttendance[],8,FALSE),"")</f>
        <v/>
      </c>
      <c r="I33" s="109" t="str">
        <f>IFERROR(VLOOKUP(StudentLookup,AprilAttendance[],9,FALSE),"")</f>
        <v/>
      </c>
      <c r="J33" s="109" t="str">
        <f>IFERROR(VLOOKUP(StudentLookup,AprilAttendance[],10,FALSE),"")</f>
        <v/>
      </c>
      <c r="K33" s="109" t="str">
        <f>IFERROR(VLOOKUP(StudentLookup,AprilAttendance[],11,FALSE),"")</f>
        <v/>
      </c>
      <c r="L33" s="109" t="str">
        <f>IFERROR(VLOOKUP(StudentLookup,AprilAttendance[],12,FALSE),"")</f>
        <v/>
      </c>
      <c r="M33" s="109" t="str">
        <f>IFERROR(VLOOKUP(StudentLookup,AprilAttendance[],13,FALSE),"")</f>
        <v/>
      </c>
      <c r="N33" s="109" t="str">
        <f>IFERROR(VLOOKUP(StudentLookup,AprilAttendance[],14,FALSE),"")</f>
        <v/>
      </c>
      <c r="O33" s="109" t="str">
        <f>IFERROR(VLOOKUP(StudentLookup,AprilAttendance[],15,FALSE),"")</f>
        <v/>
      </c>
      <c r="P33" s="109" t="str">
        <f>IFERROR(VLOOKUP(StudentLookup,AprilAttendance[],16,FALSE),"")</f>
        <v/>
      </c>
      <c r="Q33" s="109" t="str">
        <f>IFERROR(VLOOKUP(StudentLookup,AprilAttendance[],17,FALSE),"")</f>
        <v/>
      </c>
      <c r="R33" s="109" t="str">
        <f>IFERROR(VLOOKUP(StudentLookup,AprilAttendance[],18,FALSE),"")</f>
        <v/>
      </c>
      <c r="S33" s="109" t="str">
        <f>IFERROR(VLOOKUP(StudentLookup,AprilAttendance[],19,FALSE),"")</f>
        <v/>
      </c>
      <c r="T33" s="109" t="str">
        <f>IFERROR(VLOOKUP(StudentLookup,AprilAttendance[],20,FALSE),"")</f>
        <v/>
      </c>
      <c r="U33" s="109" t="str">
        <f>IFERROR(VLOOKUP(StudentLookup,AprilAttendance[],21,FALSE),"")</f>
        <v/>
      </c>
      <c r="V33" s="109" t="str">
        <f>IFERROR(VLOOKUP(StudentLookup,AprilAttendance[],22,FALSE),"")</f>
        <v/>
      </c>
      <c r="W33" s="109" t="str">
        <f>IFERROR(VLOOKUP(StudentLookup,AprilAttendance[],23,FALSE),"")</f>
        <v/>
      </c>
      <c r="X33" s="109" t="str">
        <f>IFERROR(VLOOKUP(StudentLookup,AprilAttendance[],24,FALSE),"")</f>
        <v/>
      </c>
      <c r="Y33" s="109" t="str">
        <f>IFERROR(VLOOKUP(StudentLookup,AprilAttendance[],25,FALSE),"")</f>
        <v/>
      </c>
      <c r="Z33" s="109" t="str">
        <f>IFERROR(VLOOKUP(StudentLookup,AprilAttendance[],26,FALSE),"")</f>
        <v/>
      </c>
      <c r="AA33" s="109" t="str">
        <f>IFERROR(VLOOKUP(StudentLookup,AprilAttendance[],27,FALSE),"")</f>
        <v/>
      </c>
      <c r="AB33" s="109" t="str">
        <f>IFERROR(VLOOKUP(StudentLookup,AprilAttendance[],28,FALSE),"")</f>
        <v/>
      </c>
      <c r="AC33" s="109" t="str">
        <f>IFERROR(VLOOKUP(StudentLookup,AprilAttendance[],29,FALSE),"")</f>
        <v/>
      </c>
      <c r="AD33" s="109" t="str">
        <f>IFERROR(VLOOKUP(StudentLookup,AprilAttendance[],30,FALSE),"")</f>
        <v/>
      </c>
      <c r="AE33" s="109" t="str">
        <f>IFERROR(VLOOKUP(StudentLookup,AprilAttendance[],31,FALSE),"")</f>
        <v/>
      </c>
      <c r="AF33" s="109" t="str">
        <f>IFERROR(VLOOKUP(StudentLookup,AprilAttendance[],32,FALSE),"")</f>
        <v/>
      </c>
      <c r="AG33" s="109"/>
      <c r="AH33" s="132"/>
      <c r="AI33" s="132"/>
      <c r="AJ33" s="132"/>
      <c r="AK33" s="132"/>
    </row>
    <row r="34" spans="2:37">
      <c r="B34" s="131" t="s">
        <v>68</v>
      </c>
      <c r="C34" s="110">
        <v>1</v>
      </c>
      <c r="D34" s="110">
        <v>2</v>
      </c>
      <c r="E34" s="110">
        <v>3</v>
      </c>
      <c r="F34" s="110">
        <v>4</v>
      </c>
      <c r="G34" s="110">
        <v>5</v>
      </c>
      <c r="H34" s="110">
        <v>6</v>
      </c>
      <c r="I34" s="110">
        <v>7</v>
      </c>
      <c r="J34" s="110">
        <v>8</v>
      </c>
      <c r="K34" s="110">
        <v>9</v>
      </c>
      <c r="L34" s="110">
        <v>10</v>
      </c>
      <c r="M34" s="110">
        <v>11</v>
      </c>
      <c r="N34" s="110">
        <v>12</v>
      </c>
      <c r="O34" s="110">
        <v>13</v>
      </c>
      <c r="P34" s="110">
        <v>14</v>
      </c>
      <c r="Q34" s="110">
        <v>15</v>
      </c>
      <c r="R34" s="110">
        <v>16</v>
      </c>
      <c r="S34" s="110">
        <v>17</v>
      </c>
      <c r="T34" s="110">
        <v>18</v>
      </c>
      <c r="U34" s="110">
        <v>19</v>
      </c>
      <c r="V34" s="110">
        <v>20</v>
      </c>
      <c r="W34" s="110">
        <v>21</v>
      </c>
      <c r="X34" s="110">
        <v>22</v>
      </c>
      <c r="Y34" s="110">
        <v>23</v>
      </c>
      <c r="Z34" s="110">
        <v>24</v>
      </c>
      <c r="AA34" s="110">
        <v>25</v>
      </c>
      <c r="AB34" s="110">
        <v>26</v>
      </c>
      <c r="AC34" s="110">
        <v>27</v>
      </c>
      <c r="AD34" s="110">
        <v>28</v>
      </c>
      <c r="AE34" s="110">
        <v>29</v>
      </c>
      <c r="AF34" s="110">
        <v>30</v>
      </c>
      <c r="AG34" s="110">
        <v>31</v>
      </c>
      <c r="AH34" s="132">
        <f>COUNTIF($D35:$AH35,Code1)</f>
        <v>0</v>
      </c>
      <c r="AI34" s="132">
        <f>COUNTIF($D35:$AH35,Code2)</f>
        <v>0</v>
      </c>
      <c r="AJ34" s="132">
        <f>COUNTIF($D35:$AH35,Code3)</f>
        <v>0</v>
      </c>
      <c r="AK34" s="132">
        <f>COUNTIF($D35:$AH35,Code4)</f>
        <v>0</v>
      </c>
    </row>
    <row r="35" spans="2:37">
      <c r="B35" s="131"/>
      <c r="C35" s="109" t="str">
        <f>IFERROR(VLOOKUP(StudentLookup,MayAttendance[],3,FALSE),"")</f>
        <v/>
      </c>
      <c r="D35" s="109" t="str">
        <f>IFERROR(VLOOKUP(StudentLookup,MayAttendance[],4,FALSE),"")</f>
        <v/>
      </c>
      <c r="E35" s="109" t="str">
        <f>IFERROR(VLOOKUP(StudentLookup,MayAttendance[],5,FALSE),"")</f>
        <v/>
      </c>
      <c r="F35" s="109" t="str">
        <f>IFERROR(VLOOKUP(StudentLookup,MayAttendance[],6,FALSE),"")</f>
        <v/>
      </c>
      <c r="G35" s="109" t="str">
        <f>IFERROR(VLOOKUP(StudentLookup,MayAttendance[],7,FALSE),"")</f>
        <v/>
      </c>
      <c r="H35" s="109" t="str">
        <f>IFERROR(VLOOKUP(StudentLookup,MayAttendance[],8,FALSE),"")</f>
        <v/>
      </c>
      <c r="I35" s="109" t="str">
        <f>IFERROR(VLOOKUP(StudentLookup,MayAttendance[],9,FALSE),"")</f>
        <v/>
      </c>
      <c r="J35" s="109" t="str">
        <f>IFERROR(VLOOKUP(StudentLookup,MayAttendance[],10,FALSE),"")</f>
        <v/>
      </c>
      <c r="K35" s="109" t="str">
        <f>IFERROR(VLOOKUP(StudentLookup,MayAttendance[],11,FALSE),"")</f>
        <v/>
      </c>
      <c r="L35" s="109" t="str">
        <f>IFERROR(VLOOKUP(StudentLookup,MayAttendance[],12,FALSE),"")</f>
        <v/>
      </c>
      <c r="M35" s="109" t="str">
        <f>IFERROR(VLOOKUP(StudentLookup,MayAttendance[],13,FALSE),"")</f>
        <v/>
      </c>
      <c r="N35" s="109" t="str">
        <f>IFERROR(VLOOKUP(StudentLookup,MayAttendance[],14,FALSE),"")</f>
        <v/>
      </c>
      <c r="O35" s="109" t="str">
        <f>IFERROR(VLOOKUP(StudentLookup,MayAttendance[],15,FALSE),"")</f>
        <v/>
      </c>
      <c r="P35" s="109" t="str">
        <f>IFERROR(VLOOKUP(StudentLookup,MayAttendance[],16,FALSE),"")</f>
        <v/>
      </c>
      <c r="Q35" s="109" t="str">
        <f>IFERROR(VLOOKUP(StudentLookup,MayAttendance[],17,FALSE),"")</f>
        <v/>
      </c>
      <c r="R35" s="109" t="str">
        <f>IFERROR(VLOOKUP(StudentLookup,MayAttendance[],18,FALSE),"")</f>
        <v/>
      </c>
      <c r="S35" s="109" t="str">
        <f>IFERROR(VLOOKUP(StudentLookup,MayAttendance[],19,FALSE),"")</f>
        <v/>
      </c>
      <c r="T35" s="109" t="str">
        <f>IFERROR(VLOOKUP(StudentLookup,MayAttendance[],20,FALSE),"")</f>
        <v/>
      </c>
      <c r="U35" s="109" t="str">
        <f>IFERROR(VLOOKUP(StudentLookup,MayAttendance[],21,FALSE),"")</f>
        <v/>
      </c>
      <c r="V35" s="109" t="str">
        <f>IFERROR(VLOOKUP(StudentLookup,MayAttendance[],22,FALSE),"")</f>
        <v/>
      </c>
      <c r="W35" s="109" t="str">
        <f>IFERROR(VLOOKUP(StudentLookup,MayAttendance[],23,FALSE),"")</f>
        <v/>
      </c>
      <c r="X35" s="109" t="str">
        <f>IFERROR(VLOOKUP(StudentLookup,MayAttendance[],24,FALSE),"")</f>
        <v/>
      </c>
      <c r="Y35" s="109" t="str">
        <f>IFERROR(VLOOKUP(StudentLookup,MayAttendance[],25,FALSE),"")</f>
        <v/>
      </c>
      <c r="Z35" s="109" t="str">
        <f>IFERROR(VLOOKUP(StudentLookup,MayAttendance[],26,FALSE),"")</f>
        <v/>
      </c>
      <c r="AA35" s="109" t="str">
        <f>IFERROR(VLOOKUP(StudentLookup,MayAttendance[],27,FALSE),"")</f>
        <v/>
      </c>
      <c r="AB35" s="109" t="str">
        <f>IFERROR(VLOOKUP(StudentLookup,MayAttendance[],28,FALSE),"")</f>
        <v/>
      </c>
      <c r="AC35" s="109" t="str">
        <f>IFERROR(VLOOKUP(StudentLookup,MayAttendance[],29,FALSE),"")</f>
        <v/>
      </c>
      <c r="AD35" s="109" t="str">
        <f>IFERROR(VLOOKUP(StudentLookup,MayAttendance[],30,FALSE),"")</f>
        <v/>
      </c>
      <c r="AE35" s="109" t="str">
        <f>IFERROR(VLOOKUP(StudentLookup,MayAttendance[],31,FALSE),"")</f>
        <v/>
      </c>
      <c r="AF35" s="109" t="str">
        <f>IFERROR(VLOOKUP(StudentLookup,MayAttendance[],32,FALSE),"")</f>
        <v/>
      </c>
      <c r="AG35" s="109" t="str">
        <f>IFERROR(VLOOKUP(StudentLookup,MayAttendance[],33,FALSE),"")</f>
        <v/>
      </c>
      <c r="AH35" s="132"/>
      <c r="AI35" s="132"/>
      <c r="AJ35" s="132"/>
      <c r="AK35" s="132"/>
    </row>
    <row r="36" spans="2:37">
      <c r="B36" s="133" t="s">
        <v>69</v>
      </c>
      <c r="C36" s="110">
        <v>1</v>
      </c>
      <c r="D36" s="110">
        <v>2</v>
      </c>
      <c r="E36" s="110">
        <v>3</v>
      </c>
      <c r="F36" s="110">
        <v>4</v>
      </c>
      <c r="G36" s="110">
        <v>5</v>
      </c>
      <c r="H36" s="110">
        <v>6</v>
      </c>
      <c r="I36" s="110">
        <v>7</v>
      </c>
      <c r="J36" s="110">
        <v>8</v>
      </c>
      <c r="K36" s="110">
        <v>9</v>
      </c>
      <c r="L36" s="110">
        <v>10</v>
      </c>
      <c r="M36" s="110">
        <v>11</v>
      </c>
      <c r="N36" s="110">
        <v>12</v>
      </c>
      <c r="O36" s="110">
        <v>13</v>
      </c>
      <c r="P36" s="110">
        <v>14</v>
      </c>
      <c r="Q36" s="110">
        <v>15</v>
      </c>
      <c r="R36" s="110">
        <v>16</v>
      </c>
      <c r="S36" s="110">
        <v>17</v>
      </c>
      <c r="T36" s="110">
        <v>18</v>
      </c>
      <c r="U36" s="110">
        <v>19</v>
      </c>
      <c r="V36" s="110">
        <v>20</v>
      </c>
      <c r="W36" s="110">
        <v>21</v>
      </c>
      <c r="X36" s="110">
        <v>22</v>
      </c>
      <c r="Y36" s="110">
        <v>23</v>
      </c>
      <c r="Z36" s="110">
        <v>24</v>
      </c>
      <c r="AA36" s="110">
        <v>25</v>
      </c>
      <c r="AB36" s="110">
        <v>26</v>
      </c>
      <c r="AC36" s="110">
        <v>27</v>
      </c>
      <c r="AD36" s="110">
        <v>28</v>
      </c>
      <c r="AE36" s="110">
        <v>29</v>
      </c>
      <c r="AF36" s="110">
        <v>30</v>
      </c>
      <c r="AG36" s="110"/>
      <c r="AH36" s="128">
        <f>COUNTIF($D37:$AH37,Code1)</f>
        <v>0</v>
      </c>
      <c r="AI36" s="128">
        <f>COUNTIF($D37:$AH37,Code2)</f>
        <v>0</v>
      </c>
      <c r="AJ36" s="128">
        <f>COUNTIF($D37:$AH37,Code3)</f>
        <v>0</v>
      </c>
      <c r="AK36" s="128">
        <f>COUNTIF($D37:$AH37,Code4)</f>
        <v>0</v>
      </c>
    </row>
    <row r="37" spans="2:37">
      <c r="B37" s="134"/>
      <c r="C37" s="109" t="str">
        <f>IFERROR(VLOOKUP(StudentLookup,JuneAttendance[],3,FALSE),"")</f>
        <v/>
      </c>
      <c r="D37" s="109" t="str">
        <f>IFERROR(VLOOKUP(StudentLookup,JuneAttendance[],4,FALSE),"")</f>
        <v/>
      </c>
      <c r="E37" s="109" t="str">
        <f>IFERROR(VLOOKUP(StudentLookup,JuneAttendance[],5,FALSE),"")</f>
        <v/>
      </c>
      <c r="F37" s="109" t="str">
        <f>IFERROR(VLOOKUP(StudentLookup,JuneAttendance[],6,FALSE),"")</f>
        <v/>
      </c>
      <c r="G37" s="109" t="str">
        <f>IFERROR(VLOOKUP(StudentLookup,JuneAttendance[],7,FALSE),"")</f>
        <v/>
      </c>
      <c r="H37" s="109" t="str">
        <f>IFERROR(VLOOKUP(StudentLookup,JuneAttendance[],8,FALSE),"")</f>
        <v/>
      </c>
      <c r="I37" s="109" t="str">
        <f>IFERROR(VLOOKUP(StudentLookup,JuneAttendance[],9,FALSE),"")</f>
        <v/>
      </c>
      <c r="J37" s="109" t="str">
        <f>IFERROR(VLOOKUP(StudentLookup,JuneAttendance[],10,FALSE),"")</f>
        <v/>
      </c>
      <c r="K37" s="109" t="str">
        <f>IFERROR(VLOOKUP(StudentLookup,JuneAttendance[],11,FALSE),"")</f>
        <v/>
      </c>
      <c r="L37" s="109" t="str">
        <f>IFERROR(VLOOKUP(StudentLookup,JuneAttendance[],12,FALSE),"")</f>
        <v/>
      </c>
      <c r="M37" s="109" t="str">
        <f>IFERROR(VLOOKUP(StudentLookup,JuneAttendance[],13,FALSE),"")</f>
        <v/>
      </c>
      <c r="N37" s="109" t="str">
        <f>IFERROR(VLOOKUP(StudentLookup,JuneAttendance[],14,FALSE),"")</f>
        <v/>
      </c>
      <c r="O37" s="109" t="str">
        <f>IFERROR(VLOOKUP(StudentLookup,JuneAttendance[],15,FALSE),"")</f>
        <v/>
      </c>
      <c r="P37" s="109" t="str">
        <f>IFERROR(VLOOKUP(StudentLookup,JuneAttendance[],16,FALSE),"")</f>
        <v/>
      </c>
      <c r="Q37" s="109" t="str">
        <f>IFERROR(VLOOKUP(StudentLookup,JuneAttendance[],17,FALSE),"")</f>
        <v/>
      </c>
      <c r="R37" s="109" t="str">
        <f>IFERROR(VLOOKUP(StudentLookup,JuneAttendance[],18,FALSE),"")</f>
        <v/>
      </c>
      <c r="S37" s="109" t="str">
        <f>IFERROR(VLOOKUP(StudentLookup,JuneAttendance[],19,FALSE),"")</f>
        <v/>
      </c>
      <c r="T37" s="109" t="str">
        <f>IFERROR(VLOOKUP(StudentLookup,JuneAttendance[],20,FALSE),"")</f>
        <v/>
      </c>
      <c r="U37" s="109" t="str">
        <f>IFERROR(VLOOKUP(StudentLookup,JuneAttendance[],21,FALSE),"")</f>
        <v/>
      </c>
      <c r="V37" s="109" t="str">
        <f>IFERROR(VLOOKUP(StudentLookup,JuneAttendance[],22,FALSE),"")</f>
        <v/>
      </c>
      <c r="W37" s="109" t="str">
        <f>IFERROR(VLOOKUP(StudentLookup,JuneAttendance[],23,FALSE),"")</f>
        <v/>
      </c>
      <c r="X37" s="109" t="str">
        <f>IFERROR(VLOOKUP(StudentLookup,JuneAttendance[],24,FALSE),"")</f>
        <v/>
      </c>
      <c r="Y37" s="109" t="str">
        <f>IFERROR(VLOOKUP(StudentLookup,JuneAttendance[],25,FALSE),"")</f>
        <v/>
      </c>
      <c r="Z37" s="109" t="str">
        <f>IFERROR(VLOOKUP(StudentLookup,JuneAttendance[],26,FALSE),"")</f>
        <v/>
      </c>
      <c r="AA37" s="109" t="str">
        <f>IFERROR(VLOOKUP(StudentLookup,JuneAttendance[],27,FALSE),"")</f>
        <v/>
      </c>
      <c r="AB37" s="109" t="str">
        <f>IFERROR(VLOOKUP(StudentLookup,JuneAttendance[],28,FALSE),"")</f>
        <v/>
      </c>
      <c r="AC37" s="109" t="str">
        <f>IFERROR(VLOOKUP(StudentLookup,JuneAttendance[],29,FALSE),"")</f>
        <v/>
      </c>
      <c r="AD37" s="109" t="str">
        <f>IFERROR(VLOOKUP(StudentLookup,JuneAttendance[],30,FALSE),"")</f>
        <v/>
      </c>
      <c r="AE37" s="109" t="str">
        <f>IFERROR(VLOOKUP(StudentLookup,JuneAttendance[],31,FALSE),"")</f>
        <v/>
      </c>
      <c r="AF37" s="109" t="str">
        <f>IFERROR(VLOOKUP(StudentLookup,JuneAttendance[],32,FALSE),"")</f>
        <v/>
      </c>
      <c r="AG37" s="109"/>
      <c r="AH37" s="129"/>
      <c r="AI37" s="129"/>
      <c r="AJ37" s="129"/>
      <c r="AK37" s="129"/>
    </row>
    <row r="38" spans="2:37">
      <c r="B38" s="133" t="s">
        <v>70</v>
      </c>
      <c r="C38" s="110">
        <v>1</v>
      </c>
      <c r="D38" s="110">
        <v>2</v>
      </c>
      <c r="E38" s="110">
        <v>3</v>
      </c>
      <c r="F38" s="110">
        <v>4</v>
      </c>
      <c r="G38" s="110">
        <v>5</v>
      </c>
      <c r="H38" s="110">
        <v>6</v>
      </c>
      <c r="I38" s="110">
        <v>7</v>
      </c>
      <c r="J38" s="110">
        <v>8</v>
      </c>
      <c r="K38" s="110">
        <v>9</v>
      </c>
      <c r="L38" s="110">
        <v>10</v>
      </c>
      <c r="M38" s="110">
        <v>11</v>
      </c>
      <c r="N38" s="110">
        <v>12</v>
      </c>
      <c r="O38" s="110">
        <v>13</v>
      </c>
      <c r="P38" s="110">
        <v>14</v>
      </c>
      <c r="Q38" s="110">
        <v>15</v>
      </c>
      <c r="R38" s="110">
        <v>16</v>
      </c>
      <c r="S38" s="110">
        <v>17</v>
      </c>
      <c r="T38" s="110">
        <v>18</v>
      </c>
      <c r="U38" s="110">
        <v>19</v>
      </c>
      <c r="V38" s="110">
        <v>20</v>
      </c>
      <c r="W38" s="110">
        <v>21</v>
      </c>
      <c r="X38" s="110">
        <v>22</v>
      </c>
      <c r="Y38" s="110">
        <v>23</v>
      </c>
      <c r="Z38" s="110">
        <v>24</v>
      </c>
      <c r="AA38" s="110">
        <v>25</v>
      </c>
      <c r="AB38" s="110">
        <v>26</v>
      </c>
      <c r="AC38" s="110">
        <v>27</v>
      </c>
      <c r="AD38" s="110">
        <v>28</v>
      </c>
      <c r="AE38" s="110">
        <v>29</v>
      </c>
      <c r="AF38" s="110">
        <v>30</v>
      </c>
      <c r="AG38" s="110">
        <v>31</v>
      </c>
      <c r="AH38" s="128">
        <f>COUNTIF($D39:$AH39,Code1)</f>
        <v>0</v>
      </c>
      <c r="AI38" s="128">
        <f>COUNTIF($D39:$AH39,Code2)</f>
        <v>0</v>
      </c>
      <c r="AJ38" s="128">
        <f>COUNTIF($D39:$AH39,Code3)</f>
        <v>0</v>
      </c>
      <c r="AK38" s="128">
        <f>COUNTIF($D39:$AH39,Code4)</f>
        <v>0</v>
      </c>
    </row>
    <row r="39" spans="2:37">
      <c r="B39" s="134"/>
      <c r="C39" s="109" t="str">
        <f>IFERROR(VLOOKUP(StudentLookup,JulyAttendance[],3,FALSE),"")</f>
        <v/>
      </c>
      <c r="D39" s="109" t="str">
        <f>IFERROR(VLOOKUP(StudentLookup,JulyAttendance[],4,FALSE),"")</f>
        <v/>
      </c>
      <c r="E39" s="109" t="str">
        <f>IFERROR(VLOOKUP(StudentLookup,JulyAttendance[],5,FALSE),"")</f>
        <v/>
      </c>
      <c r="F39" s="109" t="str">
        <f>IFERROR(VLOOKUP(StudentLookup,JulyAttendance[],6,FALSE),"")</f>
        <v/>
      </c>
      <c r="G39" s="109" t="str">
        <f>IFERROR(VLOOKUP(StudentLookup,JulyAttendance[],7,FALSE),"")</f>
        <v/>
      </c>
      <c r="H39" s="109" t="str">
        <f>IFERROR(VLOOKUP(StudentLookup,JulyAttendance[],8,FALSE),"")</f>
        <v/>
      </c>
      <c r="I39" s="109" t="str">
        <f>IFERROR(VLOOKUP(StudentLookup,JulyAttendance[],9,FALSE),"")</f>
        <v/>
      </c>
      <c r="J39" s="109" t="str">
        <f>IFERROR(VLOOKUP(StudentLookup,JulyAttendance[],10,FALSE),"")</f>
        <v/>
      </c>
      <c r="K39" s="109" t="str">
        <f>IFERROR(VLOOKUP(StudentLookup,JulyAttendance[],11,FALSE),"")</f>
        <v/>
      </c>
      <c r="L39" s="109" t="str">
        <f>IFERROR(VLOOKUP(StudentLookup,JulyAttendance[],12,FALSE),"")</f>
        <v/>
      </c>
      <c r="M39" s="109" t="str">
        <f>IFERROR(VLOOKUP(StudentLookup,JulyAttendance[],13,FALSE),"")</f>
        <v/>
      </c>
      <c r="N39" s="109" t="str">
        <f>IFERROR(VLOOKUP(StudentLookup,JulyAttendance[],14,FALSE),"")</f>
        <v/>
      </c>
      <c r="O39" s="109" t="str">
        <f>IFERROR(VLOOKUP(StudentLookup,JulyAttendance[],15,FALSE),"")</f>
        <v/>
      </c>
      <c r="P39" s="109" t="str">
        <f>IFERROR(VLOOKUP(StudentLookup,JulyAttendance[],16,FALSE),"")</f>
        <v/>
      </c>
      <c r="Q39" s="109" t="str">
        <f>IFERROR(VLOOKUP(StudentLookup,JulyAttendance[],17,FALSE),"")</f>
        <v/>
      </c>
      <c r="R39" s="109" t="str">
        <f>IFERROR(VLOOKUP(StudentLookup,JulyAttendance[],18,FALSE),"")</f>
        <v/>
      </c>
      <c r="S39" s="109" t="str">
        <f>IFERROR(VLOOKUP(StudentLookup,JulyAttendance[],19,FALSE),"")</f>
        <v/>
      </c>
      <c r="T39" s="109" t="str">
        <f>IFERROR(VLOOKUP(StudentLookup,JulyAttendance[],20,FALSE),"")</f>
        <v/>
      </c>
      <c r="U39" s="109" t="str">
        <f>IFERROR(VLOOKUP(StudentLookup,JulyAttendance[],21,FALSE),"")</f>
        <v/>
      </c>
      <c r="V39" s="109" t="str">
        <f>IFERROR(VLOOKUP(StudentLookup,JulyAttendance[],22,FALSE),"")</f>
        <v/>
      </c>
      <c r="W39" s="109" t="str">
        <f>IFERROR(VLOOKUP(StudentLookup,JulyAttendance[],23,FALSE),"")</f>
        <v/>
      </c>
      <c r="X39" s="109" t="str">
        <f>IFERROR(VLOOKUP(StudentLookup,JulyAttendance[],24,FALSE),"")</f>
        <v/>
      </c>
      <c r="Y39" s="109" t="str">
        <f>IFERROR(VLOOKUP(StudentLookup,JulyAttendance[],25,FALSE),"")</f>
        <v/>
      </c>
      <c r="Z39" s="109" t="str">
        <f>IFERROR(VLOOKUP(StudentLookup,JulyAttendance[],26,FALSE),"")</f>
        <v/>
      </c>
      <c r="AA39" s="109" t="str">
        <f>IFERROR(VLOOKUP(StudentLookup,JulyAttendance[],27,FALSE),"")</f>
        <v/>
      </c>
      <c r="AB39" s="109" t="str">
        <f>IFERROR(VLOOKUP(StudentLookup,JulyAttendance[],28,FALSE),"")</f>
        <v/>
      </c>
      <c r="AC39" s="109" t="str">
        <f>IFERROR(VLOOKUP(StudentLookup,JulyAttendance[],29,FALSE),"")</f>
        <v/>
      </c>
      <c r="AD39" s="109" t="str">
        <f>IFERROR(VLOOKUP(StudentLookup,JulyAttendance[],30,FALSE),"")</f>
        <v/>
      </c>
      <c r="AE39" s="109" t="str">
        <f>IFERROR(VLOOKUP(StudentLookup,JulyAttendance[],31,FALSE),"")</f>
        <v/>
      </c>
      <c r="AF39" s="109" t="str">
        <f>IFERROR(VLOOKUP(StudentLookup,JulyAttendance[],32,FALSE),"")</f>
        <v/>
      </c>
      <c r="AG39" s="109" t="str">
        <f>IFERROR(VLOOKUP(StudentLookup,JulyAttendance[],33,FALSE),"")</f>
        <v/>
      </c>
      <c r="AH39" s="129"/>
      <c r="AI39" s="129"/>
      <c r="AJ39" s="129"/>
      <c r="AK39" s="129"/>
    </row>
    <row r="40" spans="2:37">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2"/>
      <c r="AA40" s="112"/>
      <c r="AB40" s="112"/>
      <c r="AC40" s="112"/>
      <c r="AD40" s="112"/>
      <c r="AE40" s="130" t="s">
        <v>41</v>
      </c>
      <c r="AF40" s="130"/>
      <c r="AG40" s="130"/>
      <c r="AH40" s="113">
        <f>SUM(AH16:AH39)</f>
        <v>2</v>
      </c>
      <c r="AI40" s="113">
        <f>SUM(AI16:AI39)</f>
        <v>1</v>
      </c>
      <c r="AJ40" s="113">
        <f>SUM(AJ16:AJ39)</f>
        <v>0</v>
      </c>
      <c r="AK40" s="113">
        <f>SUM(AK16:AK39)</f>
        <v>19</v>
      </c>
    </row>
  </sheetData>
  <sheetProtection formatColumns="0" formatRows="0" selectLockedCells="1"/>
  <mergeCells count="100">
    <mergeCell ref="AE5:AK5"/>
    <mergeCell ref="B6:J6"/>
    <mergeCell ref="K6:V6"/>
    <mergeCell ref="W6:AD6"/>
    <mergeCell ref="AE6:AK6"/>
    <mergeCell ref="B5:J5"/>
    <mergeCell ref="K5:V5"/>
    <mergeCell ref="B7:J7"/>
    <mergeCell ref="K7:V7"/>
    <mergeCell ref="W7:AD7"/>
    <mergeCell ref="AE7:AK7"/>
    <mergeCell ref="B8:J8"/>
    <mergeCell ref="K8:V8"/>
    <mergeCell ref="W8:AD8"/>
    <mergeCell ref="AE8:AK8"/>
    <mergeCell ref="P3:R3"/>
    <mergeCell ref="S3:V3"/>
    <mergeCell ref="W3:AD3"/>
    <mergeCell ref="W5:AD5"/>
    <mergeCell ref="P4:R4"/>
    <mergeCell ref="S4:V4"/>
    <mergeCell ref="W4:AD4"/>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AH14:AK14"/>
    <mergeCell ref="B16:B17"/>
    <mergeCell ref="AH16:AH17"/>
    <mergeCell ref="AI16:AI17"/>
    <mergeCell ref="AJ16:AJ17"/>
    <mergeCell ref="AK16:AK17"/>
    <mergeCell ref="B20:B21"/>
    <mergeCell ref="AH20:AH21"/>
    <mergeCell ref="AI20:AI21"/>
    <mergeCell ref="AJ20:AJ21"/>
    <mergeCell ref="AK20:AK21"/>
    <mergeCell ref="B18:B19"/>
    <mergeCell ref="AH18:AH19"/>
    <mergeCell ref="AI18:AI19"/>
    <mergeCell ref="AJ18:AJ19"/>
    <mergeCell ref="AK18:AK19"/>
    <mergeCell ref="B24:B25"/>
    <mergeCell ref="AH24:AH25"/>
    <mergeCell ref="AI24:AI25"/>
    <mergeCell ref="AJ24:AJ25"/>
    <mergeCell ref="AK24:AK25"/>
    <mergeCell ref="B22:B23"/>
    <mergeCell ref="AH22:AH23"/>
    <mergeCell ref="AI22:AI23"/>
    <mergeCell ref="AJ22:AJ23"/>
    <mergeCell ref="AK22:AK23"/>
    <mergeCell ref="B28:B29"/>
    <mergeCell ref="AH28:AH29"/>
    <mergeCell ref="AI28:AI29"/>
    <mergeCell ref="AJ28:AJ29"/>
    <mergeCell ref="AK28:AK29"/>
    <mergeCell ref="B26:B27"/>
    <mergeCell ref="AH26:AH27"/>
    <mergeCell ref="AI26:AI27"/>
    <mergeCell ref="AJ26:AJ27"/>
    <mergeCell ref="AK26:AK27"/>
    <mergeCell ref="B32:B33"/>
    <mergeCell ref="AH32:AH33"/>
    <mergeCell ref="AI32:AI33"/>
    <mergeCell ref="AJ32:AJ33"/>
    <mergeCell ref="AK32:AK33"/>
    <mergeCell ref="B30:B31"/>
    <mergeCell ref="AH30:AH31"/>
    <mergeCell ref="AI30:AI31"/>
    <mergeCell ref="AJ30:AJ31"/>
    <mergeCell ref="AK30:AK31"/>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s>
  <conditionalFormatting sqref="C17:AG17 C21:AG21 C23:AF23 C25:AG25 C27:AG27 C31:AG31 C33:AF33 C35:AG35 C37:AG37 C39:AG39 C29:AG29 C19:AG19">
    <cfRule type="expression" dxfId="5" priority="150">
      <formula>C17=Code1</formula>
    </cfRule>
  </conditionalFormatting>
  <conditionalFormatting sqref="C17:AG17 C21:AG21 C23:AF23 C25:AG25 C27:AG27 C31:AG31 C33:AF33 C35:AG35 C37:AG37 C39:AG39 C29:AG29 C19:AG19">
    <cfRule type="expression" dxfId="4" priority="162">
      <formula>C17=Code2</formula>
    </cfRule>
  </conditionalFormatting>
  <conditionalFormatting sqref="C17:AG17 C21:AG21 C23:AF23 C25:AG25 C27:AG27 C31:AG31 C33:AF33 C35:AG35 C37:AG37 C39:AG39 C29:AG29 C19:AG19">
    <cfRule type="expression" dxfId="3" priority="174">
      <formula>C17=Code3</formula>
    </cfRule>
  </conditionalFormatting>
  <conditionalFormatting sqref="C17:AG17 C21:AG21 C23:AF23 C25:AG25 C27:AG27 C31:AG31 C33:AF33 C35:AG35 C37:AG37 C39:AG39 C29:AG29 C19:AG19">
    <cfRule type="expression" dxfId="2" priority="186">
      <formula>C17=Code4</formula>
    </cfRule>
  </conditionalFormatting>
  <conditionalFormatting sqref="C17:AG17 C21:AG21 C23:AF23 C25:AG25 C27:AG27 C31:AG31 C33:AF33 C35:AG35 C37:AG37 C39:AG39 C29:AG29 C19:AG19">
    <cfRule type="expression" dxfId="1" priority="199">
      <formula>C17=Code5</formula>
    </cfRule>
  </conditionalFormatting>
  <conditionalFormatting sqref="AE28">
    <cfRule type="expression" dxfId="0" priority="200">
      <formula>DATE(CalendarYear+1,2,AE28)&gt;EOMONTH(DATE(CalendarYear+1,1,1),1)</formula>
    </cfRule>
  </conditionalFormatting>
  <dataValidations count="2">
    <dataValidation type="list" errorStyle="warning" allowBlank="1" showInputMessage="1" showErrorMessage="1" errorTitle="Whoops!" error="In order to see attendance details for a specific student you need to select a Student ID from the drop down list. You can click Yes to use your entry but the most of student details and attendance will be blank. " sqref="B4:C4">
      <formula1>StudentID</formula1>
    </dataValidation>
    <dataValidation allowBlank="1" showInputMessage="1" showErrorMessage="1" errorTitle="Unknown Student Name" error="Please select student from list. You can add or remove names from this list on the Student List worksheet." sqref="D4"/>
  </dataValidations>
  <printOptions horizontalCentered="1"/>
  <pageMargins left="0.25" right="0.25" top="0.75" bottom="0.75" header="0.3" footer="0.3"/>
  <pageSetup scale="84"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A1:S245"/>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8.83203125" defaultRowHeight="13" x14ac:dyDescent="0"/>
  <cols>
    <col min="1" max="1" width="2.6640625" customWidth="1"/>
    <col min="2" max="2" width="14.5" customWidth="1"/>
    <col min="3" max="3" width="22.5" customWidth="1"/>
    <col min="4" max="4" width="18" customWidth="1"/>
    <col min="5" max="5" width="12.6640625" customWidth="1"/>
    <col min="6" max="6" width="22.6640625" customWidth="1"/>
    <col min="7" max="7" width="20.33203125" customWidth="1"/>
    <col min="8" max="13" width="20.5" customWidth="1"/>
    <col min="14" max="14" width="22.5" customWidth="1"/>
    <col min="15" max="17" width="20.5" customWidth="1"/>
    <col min="18" max="19" width="22.1640625" customWidth="1"/>
  </cols>
  <sheetData>
    <row r="1" spans="1:19" ht="42" customHeight="1">
      <c r="A1" s="103" t="s">
        <v>121</v>
      </c>
      <c r="B1" s="89"/>
      <c r="C1" s="89"/>
      <c r="D1" s="89"/>
      <c r="E1" s="89"/>
      <c r="F1" s="89"/>
      <c r="G1" s="89"/>
      <c r="H1" s="89"/>
      <c r="I1" s="89"/>
      <c r="J1" s="89"/>
      <c r="K1" s="89"/>
      <c r="L1" s="89"/>
      <c r="M1" s="89"/>
      <c r="N1" s="89"/>
      <c r="O1" s="89"/>
      <c r="P1" s="89"/>
      <c r="Q1" s="89"/>
      <c r="R1" s="89"/>
      <c r="S1" s="47"/>
    </row>
    <row r="3" spans="1:19" s="16" customFormat="1" ht="36" customHeight="1">
      <c r="B3" s="90" t="s">
        <v>34</v>
      </c>
      <c r="C3" s="91" t="s">
        <v>32</v>
      </c>
      <c r="D3" s="91" t="s">
        <v>33</v>
      </c>
      <c r="E3" s="90" t="s">
        <v>42</v>
      </c>
      <c r="F3" s="90" t="s">
        <v>43</v>
      </c>
      <c r="G3" s="91" t="s">
        <v>74</v>
      </c>
      <c r="H3" s="90" t="s">
        <v>75</v>
      </c>
      <c r="I3" s="90" t="s">
        <v>118</v>
      </c>
      <c r="J3" s="90" t="s">
        <v>76</v>
      </c>
      <c r="K3" s="90" t="s">
        <v>80</v>
      </c>
      <c r="L3" s="90" t="s">
        <v>77</v>
      </c>
      <c r="M3" s="90" t="s">
        <v>78</v>
      </c>
      <c r="N3" s="90" t="s">
        <v>79</v>
      </c>
      <c r="O3" s="91" t="s">
        <v>51</v>
      </c>
      <c r="P3" s="90" t="s">
        <v>53</v>
      </c>
      <c r="Q3" s="90" t="s">
        <v>54</v>
      </c>
      <c r="R3" s="90" t="s">
        <v>55</v>
      </c>
      <c r="S3" s="91" t="s">
        <v>56</v>
      </c>
    </row>
    <row r="4" spans="1:19" ht="15.75" customHeight="1">
      <c r="B4" s="14" t="s">
        <v>92</v>
      </c>
      <c r="C4" t="s">
        <v>90</v>
      </c>
      <c r="D4" s="14" t="s">
        <v>91</v>
      </c>
      <c r="E4" s="17" t="s">
        <v>52</v>
      </c>
      <c r="F4" s="18">
        <v>35517</v>
      </c>
      <c r="G4" s="14" t="s">
        <v>93</v>
      </c>
      <c r="H4" s="14" t="s">
        <v>91</v>
      </c>
      <c r="I4" s="21">
        <v>1235550134</v>
      </c>
      <c r="J4" s="21">
        <v>2345550134</v>
      </c>
      <c r="K4" s="19" t="s">
        <v>94</v>
      </c>
      <c r="L4" s="19" t="s">
        <v>73</v>
      </c>
      <c r="M4" s="21">
        <v>1235550134</v>
      </c>
      <c r="N4" s="21">
        <v>2345550134</v>
      </c>
      <c r="O4" s="14" t="s">
        <v>101</v>
      </c>
      <c r="P4" s="14" t="s">
        <v>57</v>
      </c>
      <c r="Q4" s="21">
        <v>7895550189</v>
      </c>
      <c r="R4" s="21">
        <v>7895550134</v>
      </c>
      <c r="S4" t="str">
        <f>StudentList[[#This Row],[Student First Name]]&amp;" " &amp;StudentList[[#This Row],[Student Last Name]]</f>
        <v>David Alexander</v>
      </c>
    </row>
    <row r="5" spans="1:19" ht="15.75" customHeight="1">
      <c r="B5" s="14" t="s">
        <v>95</v>
      </c>
      <c r="C5" t="s">
        <v>35</v>
      </c>
      <c r="D5" s="14">
        <v>2</v>
      </c>
      <c r="E5" s="17"/>
      <c r="F5" s="18"/>
      <c r="G5" s="14"/>
      <c r="H5" s="14"/>
      <c r="I5" s="21"/>
      <c r="J5" s="21"/>
      <c r="K5" s="19"/>
      <c r="L5" s="19"/>
      <c r="M5" s="21"/>
      <c r="N5" s="21"/>
      <c r="O5" s="14"/>
      <c r="P5" s="14"/>
      <c r="Q5" s="21"/>
      <c r="R5" s="21"/>
      <c r="S5" t="str">
        <f>StudentList[[#This Row],[Student First Name]]&amp;" " &amp;StudentList[[#This Row],[Student Last Name]]</f>
        <v>Student 2</v>
      </c>
    </row>
    <row r="6" spans="1:19" ht="15.75" customHeight="1">
      <c r="B6" s="14" t="s">
        <v>96</v>
      </c>
      <c r="C6" t="s">
        <v>35</v>
      </c>
      <c r="D6" s="14">
        <v>3</v>
      </c>
      <c r="E6" s="17"/>
      <c r="F6" s="18"/>
      <c r="G6" s="14"/>
      <c r="H6" s="14"/>
      <c r="I6" s="21"/>
      <c r="J6" s="21"/>
      <c r="K6" s="19"/>
      <c r="L6" s="19"/>
      <c r="M6" s="21"/>
      <c r="N6" s="21"/>
      <c r="O6" s="14"/>
      <c r="P6" s="14"/>
      <c r="Q6" s="21"/>
      <c r="R6" s="21"/>
      <c r="S6" t="str">
        <f>StudentList[[#This Row],[Student First Name]]&amp;" " &amp;StudentList[[#This Row],[Student Last Name]]</f>
        <v>Student 3</v>
      </c>
    </row>
    <row r="7" spans="1:19" ht="15.75" customHeight="1">
      <c r="B7" s="14" t="s">
        <v>97</v>
      </c>
      <c r="C7" t="s">
        <v>35</v>
      </c>
      <c r="D7" s="14">
        <v>4</v>
      </c>
      <c r="E7" s="17"/>
      <c r="F7" s="18"/>
      <c r="G7" s="14"/>
      <c r="H7" s="14"/>
      <c r="I7" s="21"/>
      <c r="J7" s="21"/>
      <c r="K7" s="19"/>
      <c r="L7" s="19"/>
      <c r="M7" s="21"/>
      <c r="N7" s="21"/>
      <c r="O7" s="14"/>
      <c r="P7" s="14"/>
      <c r="Q7" s="21"/>
      <c r="R7" s="21"/>
      <c r="S7" t="str">
        <f>StudentList[[#This Row],[Student First Name]]&amp;" " &amp;StudentList[[#This Row],[Student Last Name]]</f>
        <v>Student 4</v>
      </c>
    </row>
    <row r="8" spans="1:19" ht="15.75" customHeight="1">
      <c r="B8" s="14" t="s">
        <v>98</v>
      </c>
      <c r="C8" t="s">
        <v>35</v>
      </c>
      <c r="D8" s="14">
        <v>5</v>
      </c>
      <c r="E8" s="17"/>
      <c r="F8" s="18"/>
      <c r="G8" s="14"/>
      <c r="H8" s="14"/>
      <c r="I8" s="21"/>
      <c r="J8" s="21"/>
      <c r="K8" s="19"/>
      <c r="L8" s="19"/>
      <c r="M8" s="21"/>
      <c r="N8" s="21"/>
      <c r="O8" s="14"/>
      <c r="P8" s="14"/>
      <c r="Q8" s="21"/>
      <c r="R8" s="21"/>
      <c r="S8" s="15" t="str">
        <f>StudentList[[#This Row],[Student First Name]]&amp;" " &amp;StudentList[[#This Row],[Student Last Name]]</f>
        <v>Student 5</v>
      </c>
    </row>
    <row r="9" spans="1:19" ht="15.75" customHeight="1"/>
    <row r="10" spans="1:19" ht="15.75" customHeight="1"/>
    <row r="11" spans="1:19" ht="15.75" customHeight="1"/>
    <row r="12" spans="1:19" ht="15.75" customHeight="1"/>
    <row r="13" spans="1:19" ht="15.75" customHeight="1"/>
    <row r="14" spans="1:19" ht="15.75" customHeight="1"/>
    <row r="15" spans="1:19" ht="15.75" customHeight="1"/>
    <row r="16" spans="1:1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sheetData>
  <pageMargins left="0.25" right="0.25" top="0.75" bottom="0.75" header="0.3" footer="0.3"/>
  <pageSetup scale="85" fitToWidth="0" fitToHeight="0" orientation="landscape"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4" tint="-0.499984740745262"/>
    <pageSetUpPr fitToPage="1"/>
  </sheetPr>
  <dimension ref="A1:AN346"/>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40" s="1" customFormat="1" ht="42" customHeight="1">
      <c r="A1" s="119"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v>2012</v>
      </c>
    </row>
    <row r="2" spans="1:40" customFormat="1" ht="13"/>
    <row r="3" spans="1:40" s="33" customFormat="1" ht="12.75" customHeight="1">
      <c r="C3" s="48" t="s">
        <v>112</v>
      </c>
      <c r="D3" s="55" t="s">
        <v>37</v>
      </c>
      <c r="E3" s="72" t="s">
        <v>83</v>
      </c>
      <c r="F3" s="63"/>
      <c r="H3" s="56" t="s">
        <v>39</v>
      </c>
      <c r="I3" s="60" t="s">
        <v>84</v>
      </c>
      <c r="L3" s="57" t="s">
        <v>38</v>
      </c>
      <c r="M3" s="60" t="s">
        <v>85</v>
      </c>
      <c r="P3" s="58" t="s">
        <v>31</v>
      </c>
      <c r="Q3" s="60" t="s">
        <v>86</v>
      </c>
      <c r="T3" s="59" t="s">
        <v>71</v>
      </c>
      <c r="U3" s="60" t="s">
        <v>87</v>
      </c>
      <c r="W3"/>
      <c r="X3"/>
      <c r="Y3"/>
      <c r="AD3" s="32"/>
      <c r="AE3" s="32"/>
      <c r="AH3" s="34"/>
      <c r="AI3" s="35"/>
      <c r="AK3" s="36"/>
    </row>
    <row r="4" spans="1:40" customFormat="1" ht="16.5" customHeight="1"/>
    <row r="5" spans="1:40" s="2" customFormat="1" ht="18" customHeight="1">
      <c r="B5" s="65">
        <f>DATE(CalendarYear,8,1)</f>
        <v>41122</v>
      </c>
      <c r="C5" s="64"/>
      <c r="D5" s="46" t="str">
        <f>TEXT(WEEKDAY(DATE(CalendarYear,8,1),1),"aaa")</f>
        <v>Wed</v>
      </c>
      <c r="E5" s="46" t="str">
        <f>TEXT(WEEKDAY(DATE(CalendarYear,8,2),1),"aaa")</f>
        <v>Thu</v>
      </c>
      <c r="F5" s="46" t="str">
        <f>TEXT(WEEKDAY(DATE(CalendarYear,8,3),1),"aaa")</f>
        <v>Fri</v>
      </c>
      <c r="G5" s="46" t="str">
        <f>TEXT(WEEKDAY(DATE(CalendarYear,8,4),1),"aaa")</f>
        <v>Sat</v>
      </c>
      <c r="H5" s="46" t="str">
        <f>TEXT(WEEKDAY(DATE(CalendarYear,8,5),1),"aaa")</f>
        <v>Sun</v>
      </c>
      <c r="I5" s="46" t="str">
        <f>TEXT(WEEKDAY(DATE(CalendarYear,8,6),1),"aaa")</f>
        <v>Mon</v>
      </c>
      <c r="J5" s="46" t="str">
        <f>TEXT(WEEKDAY(DATE(CalendarYear,8,7),1),"aaa")</f>
        <v>Tue</v>
      </c>
      <c r="K5" s="46" t="str">
        <f>TEXT(WEEKDAY(DATE(CalendarYear,8,8),1),"aaa")</f>
        <v>Wed</v>
      </c>
      <c r="L5" s="46" t="str">
        <f>TEXT(WEEKDAY(DATE(CalendarYear,8,9),1),"aaa")</f>
        <v>Thu</v>
      </c>
      <c r="M5" s="46" t="str">
        <f>TEXT(WEEKDAY(DATE(CalendarYear,8,10),1),"aaa")</f>
        <v>Fri</v>
      </c>
      <c r="N5" s="46" t="str">
        <f>TEXT(WEEKDAY(DATE(CalendarYear,8,11),1),"aaa")</f>
        <v>Sat</v>
      </c>
      <c r="O5" s="46" t="str">
        <f>TEXT(WEEKDAY(DATE(CalendarYear,8,12),1),"aaa")</f>
        <v>Sun</v>
      </c>
      <c r="P5" s="46" t="str">
        <f>TEXT(WEEKDAY(DATE(CalendarYear,8,13),1),"aaa")</f>
        <v>Mon</v>
      </c>
      <c r="Q5" s="46" t="str">
        <f>TEXT(WEEKDAY(DATE(CalendarYear,8,14),1),"aaa")</f>
        <v>Tue</v>
      </c>
      <c r="R5" s="46" t="str">
        <f>TEXT(WEEKDAY(DATE(CalendarYear,8,15),1),"aaa")</f>
        <v>Wed</v>
      </c>
      <c r="S5" s="46" t="str">
        <f>TEXT(WEEKDAY(DATE(CalendarYear,8,16),1),"aaa")</f>
        <v>Thu</v>
      </c>
      <c r="T5" s="46" t="str">
        <f>TEXT(WEEKDAY(DATE(CalendarYear,8,17),1),"aaa")</f>
        <v>Fri</v>
      </c>
      <c r="U5" s="46" t="str">
        <f>TEXT(WEEKDAY(DATE(CalendarYear,8,18),1),"aaa")</f>
        <v>Sat</v>
      </c>
      <c r="V5" s="46" t="str">
        <f>TEXT(WEEKDAY(DATE(CalendarYear,8,19),1),"aaa")</f>
        <v>Sun</v>
      </c>
      <c r="W5" s="46" t="str">
        <f>TEXT(WEEKDAY(DATE(CalendarYear,8,20),1),"aaa")</f>
        <v>Mon</v>
      </c>
      <c r="X5" s="46" t="str">
        <f>TEXT(WEEKDAY(DATE(CalendarYear,8,21),1),"aaa")</f>
        <v>Tue</v>
      </c>
      <c r="Y5" s="46" t="str">
        <f>TEXT(WEEKDAY(DATE(CalendarYear,8,22),1),"aaa")</f>
        <v>Wed</v>
      </c>
      <c r="Z5" s="46" t="str">
        <f>TEXT(WEEKDAY(DATE(CalendarYear,8,23),1),"aaa")</f>
        <v>Thu</v>
      </c>
      <c r="AA5" s="46" t="str">
        <f>TEXT(WEEKDAY(DATE(CalendarYear,8,24),1),"aaa")</f>
        <v>Fri</v>
      </c>
      <c r="AB5" s="46" t="str">
        <f>TEXT(WEEKDAY(DATE(CalendarYear,8,25),1),"aaa")</f>
        <v>Sat</v>
      </c>
      <c r="AC5" s="46" t="str">
        <f>TEXT(WEEKDAY(DATE(CalendarYear,8,26),1),"aaa")</f>
        <v>Sun</v>
      </c>
      <c r="AD5" s="46" t="str">
        <f>TEXT(WEEKDAY(DATE(CalendarYear,8,27),1),"aaa")</f>
        <v>Mon</v>
      </c>
      <c r="AE5" s="46" t="str">
        <f>TEXT(WEEKDAY(DATE(CalendarYear,8,28),1),"aaa")</f>
        <v>Tue</v>
      </c>
      <c r="AF5" s="46" t="str">
        <f>TEXT(WEEKDAY(DATE(CalendarYear,8,29),1),"aaa")</f>
        <v>Wed</v>
      </c>
      <c r="AG5" s="46" t="str">
        <f>TEXT(WEEKDAY(DATE(CalendarYear,8,30),1),"aaa")</f>
        <v>Thu</v>
      </c>
      <c r="AH5" s="46" t="str">
        <f>TEXT(WEEKDAY(DATE(CalendarYear,8,31),1),"aaa")</f>
        <v>Fri</v>
      </c>
      <c r="AI5" s="124" t="s">
        <v>41</v>
      </c>
      <c r="AJ5" s="125"/>
      <c r="AK5" s="125"/>
      <c r="AL5" s="125"/>
      <c r="AM5" s="126"/>
    </row>
    <row r="6" spans="1:40" s="6" customFormat="1" ht="14.25" customHeight="1">
      <c r="B6" s="49" t="s">
        <v>34</v>
      </c>
      <c r="C6" s="5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8" t="s">
        <v>37</v>
      </c>
      <c r="AJ6" s="73" t="s">
        <v>39</v>
      </c>
      <c r="AK6" s="74" t="s">
        <v>38</v>
      </c>
      <c r="AL6" s="75" t="s">
        <v>31</v>
      </c>
      <c r="AM6" s="54" t="s">
        <v>40</v>
      </c>
      <c r="AN6" s="5"/>
    </row>
    <row r="7" spans="1:40" s="6" customFormat="1" ht="16.5" customHeight="1">
      <c r="B7" s="51" t="s">
        <v>92</v>
      </c>
      <c r="C7" t="str">
        <f>IFERROR(VLOOKUP(AugustAttendance[[#This Row],[Student ID]],StudentList[],18,FALSE),"")</f>
        <v>David Alexander</v>
      </c>
      <c r="D7" s="25" t="s">
        <v>31</v>
      </c>
      <c r="E7" s="25" t="s">
        <v>31</v>
      </c>
      <c r="F7" s="25" t="s">
        <v>37</v>
      </c>
      <c r="G7" s="25" t="s">
        <v>37</v>
      </c>
      <c r="H7" s="25" t="s">
        <v>31</v>
      </c>
      <c r="I7" s="25" t="s">
        <v>71</v>
      </c>
      <c r="J7" s="25" t="s">
        <v>71</v>
      </c>
      <c r="K7" s="25" t="s">
        <v>31</v>
      </c>
      <c r="L7" s="25" t="s">
        <v>31</v>
      </c>
      <c r="M7" s="25" t="s">
        <v>39</v>
      </c>
      <c r="N7" s="25" t="s">
        <v>31</v>
      </c>
      <c r="O7" s="25" t="s">
        <v>31</v>
      </c>
      <c r="P7" s="25" t="s">
        <v>71</v>
      </c>
      <c r="Q7" s="25" t="s">
        <v>71</v>
      </c>
      <c r="R7" s="25" t="s">
        <v>31</v>
      </c>
      <c r="S7" s="25" t="s">
        <v>31</v>
      </c>
      <c r="T7" s="25" t="s">
        <v>31</v>
      </c>
      <c r="U7" s="25" t="s">
        <v>31</v>
      </c>
      <c r="V7" s="25" t="s">
        <v>31</v>
      </c>
      <c r="W7" s="25" t="s">
        <v>71</v>
      </c>
      <c r="X7" s="25" t="s">
        <v>71</v>
      </c>
      <c r="Y7" s="25" t="s">
        <v>31</v>
      </c>
      <c r="Z7" s="25" t="s">
        <v>31</v>
      </c>
      <c r="AA7" s="25" t="s">
        <v>31</v>
      </c>
      <c r="AB7" s="25" t="s">
        <v>31</v>
      </c>
      <c r="AC7" s="25" t="s">
        <v>31</v>
      </c>
      <c r="AD7" s="25" t="s">
        <v>71</v>
      </c>
      <c r="AE7" s="25" t="s">
        <v>71</v>
      </c>
      <c r="AF7" s="25" t="s">
        <v>31</v>
      </c>
      <c r="AG7" s="25" t="s">
        <v>31</v>
      </c>
      <c r="AH7" s="25" t="s">
        <v>31</v>
      </c>
      <c r="AI7" s="7">
        <f>COUNTIF(AugustAttendance[[#This Row],[1]:[31]],Code1)</f>
        <v>2</v>
      </c>
      <c r="AJ7" s="53">
        <f>COUNTIF(AugustAttendance[[#This Row],[1]:[31]],Code2)</f>
        <v>1</v>
      </c>
      <c r="AK7" s="53">
        <f>COUNTIF(AugustAttendance[[#This Row],[1]:[31]],Code3)</f>
        <v>0</v>
      </c>
      <c r="AL7" s="53">
        <f>COUNTIF(AugustAttendance[[#This Row],[1]:[31]],Code4)</f>
        <v>20</v>
      </c>
      <c r="AM7" s="7">
        <f>SUM(AugustAttendance[[#This Row],[E]:[U]])</f>
        <v>1</v>
      </c>
      <c r="AN7" s="5"/>
    </row>
    <row r="8" spans="1:40" s="6" customFormat="1" ht="16.5" customHeight="1">
      <c r="B8" s="51" t="s">
        <v>95</v>
      </c>
      <c r="C8" t="str">
        <f>IFERROR(VLOOKUP(AugustAttendance[[#This Row],[Student ID]],StudentList[],18,FALSE),"")</f>
        <v>Student 2</v>
      </c>
      <c r="D8" s="25" t="s">
        <v>31</v>
      </c>
      <c r="E8" s="25" t="s">
        <v>38</v>
      </c>
      <c r="F8" s="25" t="s">
        <v>31</v>
      </c>
      <c r="G8" s="25" t="s">
        <v>31</v>
      </c>
      <c r="H8" s="25" t="s">
        <v>31</v>
      </c>
      <c r="I8" s="25" t="s">
        <v>71</v>
      </c>
      <c r="J8" s="25" t="s">
        <v>71</v>
      </c>
      <c r="K8" s="25" t="s">
        <v>31</v>
      </c>
      <c r="L8" s="25" t="s">
        <v>39</v>
      </c>
      <c r="M8" s="25" t="s">
        <v>39</v>
      </c>
      <c r="N8" s="25" t="s">
        <v>39</v>
      </c>
      <c r="O8" s="25" t="s">
        <v>39</v>
      </c>
      <c r="P8" s="25" t="s">
        <v>71</v>
      </c>
      <c r="Q8" s="25" t="s">
        <v>71</v>
      </c>
      <c r="R8" s="25" t="s">
        <v>31</v>
      </c>
      <c r="S8" s="25" t="s">
        <v>31</v>
      </c>
      <c r="T8" s="25" t="s">
        <v>31</v>
      </c>
      <c r="U8" s="25" t="s">
        <v>31</v>
      </c>
      <c r="V8" s="25" t="s">
        <v>31</v>
      </c>
      <c r="W8" s="25" t="s">
        <v>71</v>
      </c>
      <c r="X8" s="25" t="s">
        <v>71</v>
      </c>
      <c r="Y8" s="25" t="s">
        <v>31</v>
      </c>
      <c r="Z8" s="25" t="s">
        <v>31</v>
      </c>
      <c r="AA8" s="25" t="s">
        <v>31</v>
      </c>
      <c r="AB8" s="25" t="s">
        <v>37</v>
      </c>
      <c r="AC8" s="25" t="s">
        <v>37</v>
      </c>
      <c r="AD8" s="25" t="s">
        <v>71</v>
      </c>
      <c r="AE8" s="25" t="s">
        <v>71</v>
      </c>
      <c r="AF8" s="25" t="s">
        <v>31</v>
      </c>
      <c r="AG8" s="25" t="s">
        <v>31</v>
      </c>
      <c r="AH8" s="25" t="s">
        <v>31</v>
      </c>
      <c r="AI8" s="7">
        <f>COUNTIF(AugustAttendance[[#This Row],[1]:[31]],Code1)</f>
        <v>2</v>
      </c>
      <c r="AJ8" s="53">
        <f>COUNTIF(AugustAttendance[[#This Row],[1]:[31]],Code2)</f>
        <v>4</v>
      </c>
      <c r="AK8" s="53">
        <f>COUNTIF(AugustAttendance[[#This Row],[1]:[31]],Code3)</f>
        <v>1</v>
      </c>
      <c r="AL8" s="53">
        <f>COUNTIF(AugustAttendance[[#This Row],[1]:[31]],Code4)</f>
        <v>16</v>
      </c>
      <c r="AM8" s="7">
        <f>SUM(AugustAttendance[[#This Row],[E]:[U]])</f>
        <v>5</v>
      </c>
      <c r="AN8" s="5"/>
    </row>
    <row r="9" spans="1:40" s="9" customFormat="1" ht="16.5" customHeight="1">
      <c r="B9" s="51" t="s">
        <v>96</v>
      </c>
      <c r="C9" t="str">
        <f>IFERROR(VLOOKUP(AugustAttendance[[#This Row],[Student ID]],StudentList[],18,FALSE),"")</f>
        <v>Student 3</v>
      </c>
      <c r="D9" s="25" t="s">
        <v>31</v>
      </c>
      <c r="E9" s="25" t="s">
        <v>39</v>
      </c>
      <c r="F9" s="25" t="s">
        <v>31</v>
      </c>
      <c r="G9" s="25" t="s">
        <v>31</v>
      </c>
      <c r="H9" s="25" t="s">
        <v>31</v>
      </c>
      <c r="I9" s="25" t="s">
        <v>71</v>
      </c>
      <c r="J9" s="25" t="s">
        <v>71</v>
      </c>
      <c r="K9" s="25" t="s">
        <v>31</v>
      </c>
      <c r="L9" s="25" t="s">
        <v>31</v>
      </c>
      <c r="M9" s="25" t="s">
        <v>38</v>
      </c>
      <c r="N9" s="25" t="s">
        <v>31</v>
      </c>
      <c r="O9" s="25" t="s">
        <v>31</v>
      </c>
      <c r="P9" s="25" t="s">
        <v>71</v>
      </c>
      <c r="Q9" s="25" t="s">
        <v>71</v>
      </c>
      <c r="R9" s="25" t="s">
        <v>31</v>
      </c>
      <c r="S9" s="25" t="s">
        <v>31</v>
      </c>
      <c r="T9" s="25" t="s">
        <v>31</v>
      </c>
      <c r="U9" s="25" t="s">
        <v>31</v>
      </c>
      <c r="V9" s="25" t="s">
        <v>31</v>
      </c>
      <c r="W9" s="25" t="s">
        <v>71</v>
      </c>
      <c r="X9" s="25" t="s">
        <v>71</v>
      </c>
      <c r="Y9" s="25" t="s">
        <v>31</v>
      </c>
      <c r="Z9" s="25" t="s">
        <v>31</v>
      </c>
      <c r="AA9" s="25" t="s">
        <v>39</v>
      </c>
      <c r="AB9" s="25" t="s">
        <v>39</v>
      </c>
      <c r="AC9" s="25" t="s">
        <v>31</v>
      </c>
      <c r="AD9" s="25" t="s">
        <v>71</v>
      </c>
      <c r="AE9" s="25" t="s">
        <v>71</v>
      </c>
      <c r="AF9" s="25" t="s">
        <v>31</v>
      </c>
      <c r="AG9" s="25" t="s">
        <v>31</v>
      </c>
      <c r="AH9" s="25" t="s">
        <v>31</v>
      </c>
      <c r="AI9" s="7">
        <f>COUNTIF(AugustAttendance[[#This Row],[1]:[31]],Code1)</f>
        <v>0</v>
      </c>
      <c r="AJ9" s="53">
        <f>COUNTIF(AugustAttendance[[#This Row],[1]:[31]],Code2)</f>
        <v>3</v>
      </c>
      <c r="AK9" s="53">
        <f>COUNTIF(AugustAttendance[[#This Row],[1]:[31]],Code3)</f>
        <v>1</v>
      </c>
      <c r="AL9" s="53">
        <f>COUNTIF(AugustAttendance[[#This Row],[1]:[31]],Code4)</f>
        <v>19</v>
      </c>
      <c r="AM9" s="7">
        <f>SUM(AugustAttendance[[#This Row],[E]:[U]])</f>
        <v>4</v>
      </c>
      <c r="AN9" s="8"/>
    </row>
    <row r="10" spans="1:40" ht="16.5" customHeight="1">
      <c r="B10" s="51" t="s">
        <v>97</v>
      </c>
      <c r="C10" t="str">
        <f>IFERROR(VLOOKUP(AugustAttendance[[#This Row],[Student ID]],StudentList[],18,FALSE),"")</f>
        <v>Student 4</v>
      </c>
      <c r="D10" s="25" t="s">
        <v>31</v>
      </c>
      <c r="E10" s="25" t="s">
        <v>31</v>
      </c>
      <c r="F10" s="25" t="s">
        <v>31</v>
      </c>
      <c r="G10" s="25" t="s">
        <v>31</v>
      </c>
      <c r="H10" s="25" t="s">
        <v>31</v>
      </c>
      <c r="I10" s="25" t="s">
        <v>71</v>
      </c>
      <c r="J10" s="25" t="s">
        <v>71</v>
      </c>
      <c r="K10" s="25" t="s">
        <v>31</v>
      </c>
      <c r="L10" s="25" t="s">
        <v>31</v>
      </c>
      <c r="M10" s="25" t="s">
        <v>31</v>
      </c>
      <c r="N10" s="25" t="s">
        <v>31</v>
      </c>
      <c r="O10" s="25" t="s">
        <v>31</v>
      </c>
      <c r="P10" s="25" t="s">
        <v>71</v>
      </c>
      <c r="Q10" s="25" t="s">
        <v>71</v>
      </c>
      <c r="R10" s="25" t="s">
        <v>31</v>
      </c>
      <c r="S10" s="25" t="s">
        <v>31</v>
      </c>
      <c r="T10" s="25" t="s">
        <v>31</v>
      </c>
      <c r="U10" s="25" t="s">
        <v>31</v>
      </c>
      <c r="V10" s="25" t="s">
        <v>31</v>
      </c>
      <c r="W10" s="25" t="s">
        <v>71</v>
      </c>
      <c r="X10" s="25" t="s">
        <v>71</v>
      </c>
      <c r="Y10" s="25" t="s">
        <v>31</v>
      </c>
      <c r="Z10" s="25" t="s">
        <v>38</v>
      </c>
      <c r="AA10" s="25" t="s">
        <v>31</v>
      </c>
      <c r="AB10" s="25" t="s">
        <v>31</v>
      </c>
      <c r="AC10" s="25" t="s">
        <v>39</v>
      </c>
      <c r="AD10" s="25" t="s">
        <v>71</v>
      </c>
      <c r="AE10" s="25" t="s">
        <v>71</v>
      </c>
      <c r="AF10" s="25" t="s">
        <v>31</v>
      </c>
      <c r="AG10" s="25" t="s">
        <v>39</v>
      </c>
      <c r="AH10" s="25" t="s">
        <v>31</v>
      </c>
      <c r="AI10" s="7">
        <f>COUNTIF(AugustAttendance[[#This Row],[1]:[31]],Code1)</f>
        <v>0</v>
      </c>
      <c r="AJ10" s="53">
        <f>COUNTIF(AugustAttendance[[#This Row],[1]:[31]],Code2)</f>
        <v>2</v>
      </c>
      <c r="AK10" s="53">
        <f>COUNTIF(AugustAttendance[[#This Row],[1]:[31]],Code3)</f>
        <v>1</v>
      </c>
      <c r="AL10" s="53">
        <f>COUNTIF(AugustAttendance[[#This Row],[1]:[31]],Code4)</f>
        <v>20</v>
      </c>
      <c r="AM10" s="7">
        <f>SUM(AugustAttendance[[#This Row],[E]:[U]])</f>
        <v>3</v>
      </c>
      <c r="AN10" s="11"/>
    </row>
    <row r="11" spans="1:40" ht="16.5" customHeight="1">
      <c r="B11" s="51" t="s">
        <v>98</v>
      </c>
      <c r="C11" t="str">
        <f>IFERROR(VLOOKUP(AugustAttendance[[#This Row],[Student ID]],StudentList[],18,FALSE),"")</f>
        <v>Student 5</v>
      </c>
      <c r="D11" s="25" t="s">
        <v>31</v>
      </c>
      <c r="E11" s="25" t="s">
        <v>31</v>
      </c>
      <c r="F11" s="25" t="s">
        <v>31</v>
      </c>
      <c r="G11" s="25" t="s">
        <v>31</v>
      </c>
      <c r="H11" s="25" t="s">
        <v>31</v>
      </c>
      <c r="I11" s="25" t="s">
        <v>71</v>
      </c>
      <c r="J11" s="25" t="s">
        <v>71</v>
      </c>
      <c r="K11" s="25" t="s">
        <v>31</v>
      </c>
      <c r="L11" s="25" t="s">
        <v>31</v>
      </c>
      <c r="M11" s="25" t="s">
        <v>31</v>
      </c>
      <c r="N11" s="25" t="s">
        <v>31</v>
      </c>
      <c r="O11" s="25" t="s">
        <v>31</v>
      </c>
      <c r="P11" s="25" t="s">
        <v>71</v>
      </c>
      <c r="Q11" s="25" t="s">
        <v>71</v>
      </c>
      <c r="R11" s="25" t="s">
        <v>31</v>
      </c>
      <c r="S11" s="25" t="s">
        <v>31</v>
      </c>
      <c r="T11" s="25" t="s">
        <v>31</v>
      </c>
      <c r="U11" s="25" t="s">
        <v>31</v>
      </c>
      <c r="V11" s="25" t="s">
        <v>31</v>
      </c>
      <c r="W11" s="25" t="s">
        <v>71</v>
      </c>
      <c r="X11" s="25" t="s">
        <v>71</v>
      </c>
      <c r="Y11" s="25" t="s">
        <v>31</v>
      </c>
      <c r="Z11" s="25" t="s">
        <v>31</v>
      </c>
      <c r="AA11" s="25" t="s">
        <v>31</v>
      </c>
      <c r="AB11" s="25" t="s">
        <v>31</v>
      </c>
      <c r="AC11" s="25" t="s">
        <v>31</v>
      </c>
      <c r="AD11" s="25" t="s">
        <v>71</v>
      </c>
      <c r="AE11" s="25" t="s">
        <v>71</v>
      </c>
      <c r="AF11" s="25" t="s">
        <v>31</v>
      </c>
      <c r="AG11" s="25" t="s">
        <v>31</v>
      </c>
      <c r="AH11" s="25" t="s">
        <v>31</v>
      </c>
      <c r="AI11" s="7">
        <f>COUNTIF(AugustAttendance[[#This Row],[1]:[31]],Code1)</f>
        <v>0</v>
      </c>
      <c r="AJ11" s="53">
        <f>COUNTIF(AugustAttendance[[#This Row],[1]:[31]],Code2)</f>
        <v>0</v>
      </c>
      <c r="AK11" s="53">
        <f>COUNTIF(AugustAttendance[[#This Row],[1]:[31]],Code3)</f>
        <v>0</v>
      </c>
      <c r="AL11" s="53">
        <f>COUNTIF(AugustAttendance[[#This Row],[1]:[31]],Code4)</f>
        <v>23</v>
      </c>
      <c r="AM11" s="7">
        <f>SUM(AugustAttendance[[#This Row],[E]:[U]])</f>
        <v>0</v>
      </c>
      <c r="AN11" s="11"/>
    </row>
    <row r="12" spans="1:40" ht="16.5" customHeight="1">
      <c r="B12" s="3"/>
      <c r="C12" s="4" t="s">
        <v>120</v>
      </c>
      <c r="D12" s="7">
        <f>COUNTIF(AugustAttendance[1],"U")+COUNTIF(AugustAttendance[1],"E")</f>
        <v>0</v>
      </c>
      <c r="E12" s="7">
        <f>COUNTIF(AugustAttendance[2],"U")+COUNTIF(AugustAttendance[2],"E")</f>
        <v>2</v>
      </c>
      <c r="F12" s="7">
        <f>COUNTIF(AugustAttendance[3],"U")+COUNTIF(AugustAttendance[3],"E")</f>
        <v>0</v>
      </c>
      <c r="G12" s="7">
        <f>COUNTIF(AugustAttendance[4],"U")+COUNTIF(AugustAttendance[4],"E")</f>
        <v>0</v>
      </c>
      <c r="H12" s="7">
        <f>COUNTIF(AugustAttendance[5],"U")+COUNTIF(AugustAttendance[5],"E")</f>
        <v>0</v>
      </c>
      <c r="I12" s="7">
        <f>COUNTIF(AugustAttendance[6],"U")+COUNTIF(AugustAttendance[6],"E")</f>
        <v>0</v>
      </c>
      <c r="J12" s="7">
        <f>COUNTIF(AugustAttendance[7],"U")+COUNTIF(AugustAttendance[7],"E")</f>
        <v>0</v>
      </c>
      <c r="K12" s="7">
        <f>COUNTIF(AugustAttendance[8],"U")+COUNTIF(AugustAttendance[8],"E")</f>
        <v>0</v>
      </c>
      <c r="L12" s="7">
        <f>COUNTIF(AugustAttendance[9],"U")+COUNTIF(AugustAttendance[9],"E")</f>
        <v>1</v>
      </c>
      <c r="M12" s="7">
        <f>COUNTIF(AugustAttendance[10],"U")+COUNTIF(AugustAttendance[10],"E")</f>
        <v>3</v>
      </c>
      <c r="N12" s="7">
        <f>COUNTIF(AugustAttendance[11],"U")+COUNTIF(AugustAttendance[11],"E")</f>
        <v>1</v>
      </c>
      <c r="O12" s="7">
        <f>COUNTIF(AugustAttendance[12],"U")+COUNTIF(AugustAttendance[12],"E")</f>
        <v>1</v>
      </c>
      <c r="P12" s="7">
        <f>COUNTIF(AugustAttendance[13],"U")+COUNTIF(AugustAttendance[13],"E")</f>
        <v>0</v>
      </c>
      <c r="Q12" s="7">
        <f>COUNTIF(AugustAttendance[14],"U")+COUNTIF(AugustAttendance[14],"E")</f>
        <v>0</v>
      </c>
      <c r="R12" s="7">
        <f>COUNTIF(AugustAttendance[15],"U")+COUNTIF(AugustAttendance[15],"E")</f>
        <v>0</v>
      </c>
      <c r="S12" s="7">
        <f>COUNTIF(AugustAttendance[16],"U")+COUNTIF(AugustAttendance[16],"E")</f>
        <v>0</v>
      </c>
      <c r="T12" s="7">
        <f>COUNTIF(AugustAttendance[17],"U")+COUNTIF(AugustAttendance[17],"E")</f>
        <v>0</v>
      </c>
      <c r="U12" s="7">
        <f>COUNTIF(AugustAttendance[18],"U")+COUNTIF(AugustAttendance[18],"E")</f>
        <v>0</v>
      </c>
      <c r="V12" s="7">
        <f>COUNTIF(AugustAttendance[19],"U")+COUNTIF(AugustAttendance[19],"E")</f>
        <v>0</v>
      </c>
      <c r="W12" s="7">
        <f>COUNTIF(AugustAttendance[20],"U")+COUNTIF(AugustAttendance[20],"E")</f>
        <v>0</v>
      </c>
      <c r="X12" s="7">
        <f>COUNTIF(AugustAttendance[21],"U")+COUNTIF(AugustAttendance[21],"E")</f>
        <v>0</v>
      </c>
      <c r="Y12" s="7">
        <f>COUNTIF(AugustAttendance[22],"U")+COUNTIF(AugustAttendance[22],"E")</f>
        <v>0</v>
      </c>
      <c r="Z12" s="7">
        <f>COUNTIF(AugustAttendance[23],"U")+COUNTIF(AugustAttendance[23],"E")</f>
        <v>1</v>
      </c>
      <c r="AA12" s="7">
        <f>COUNTIF(AugustAttendance[24],"U")+COUNTIF(AugustAttendance[24],"E")</f>
        <v>1</v>
      </c>
      <c r="AB12" s="7">
        <f>COUNTIF(AugustAttendance[25],"U")+COUNTIF(AugustAttendance[25],"E")</f>
        <v>1</v>
      </c>
      <c r="AC12" s="7">
        <f>COUNTIF(AugustAttendance[26],"U")+COUNTIF(AugustAttendance[26],"E")</f>
        <v>1</v>
      </c>
      <c r="AD12" s="7">
        <f>COUNTIF(AugustAttendance[27],"U")+COUNTIF(AugustAttendance[27],"E")</f>
        <v>0</v>
      </c>
      <c r="AE12" s="7">
        <f>COUNTIF(AugustAttendance[28],"U")+COUNTIF(AugustAttendance[28],"E")</f>
        <v>0</v>
      </c>
      <c r="AF12" s="7">
        <f>COUNTIF(AugustAttendance[29],"U")+COUNTIF(AugustAttendance[29],"E")</f>
        <v>0</v>
      </c>
      <c r="AG12" s="7">
        <f>COUNTIF(AugustAttendance[30],"U")+COUNTIF(AugustAttendance[30],"E")</f>
        <v>1</v>
      </c>
      <c r="AH12" s="7">
        <f>COUNTIF(AugustAttendance[31],"U")+COUNTIF(AugustAttendance[31],"E")</f>
        <v>0</v>
      </c>
      <c r="AI12" s="7">
        <f>SUBTOTAL(109,AugustAttendance[T])</f>
        <v>4</v>
      </c>
      <c r="AJ12" s="7">
        <f>SUBTOTAL(109,AugustAttendance[E])</f>
        <v>10</v>
      </c>
      <c r="AK12" s="7">
        <f>SUBTOTAL(109,AugustAttendance[U])</f>
        <v>3</v>
      </c>
      <c r="AL12" s="7">
        <f>SUBTOTAL(109,AugustAttendance[P])</f>
        <v>98</v>
      </c>
      <c r="AM12" s="7">
        <f>SUBTOTAL(109,AugustAttendance[Days Absent])</f>
        <v>13</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conditionalFormatting sqref="D7:AI11">
    <cfRule type="expression" dxfId="956" priority="137" stopIfTrue="1">
      <formula>D7=Code2</formula>
    </cfRule>
  </conditionalFormatting>
  <conditionalFormatting sqref="D7:AH11">
    <cfRule type="expression" dxfId="955" priority="146" stopIfTrue="1">
      <formula>D7=Code5</formula>
    </cfRule>
    <cfRule type="expression" dxfId="954" priority="147" stopIfTrue="1">
      <formula>D7=Code4</formula>
    </cfRule>
    <cfRule type="expression" dxfId="953" priority="148" stopIfTrue="1">
      <formula>D7=Code3</formula>
    </cfRule>
    <cfRule type="expression" dxfId="952" priority="149" stopIfTrue="1">
      <formula>D7=Code1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drawing r:id="rId1"/>
  <legacyDrawing r:id="rId2"/>
  <mc:AlternateContent xmlns:mc="http://schemas.openxmlformats.org/markup-compatibility/2006">
    <mc:Choice Requires="x14">
      <controls>
        <mc:AlternateContent xmlns:mc="http://schemas.openxmlformats.org/markup-compatibility/2006">
          <mc:Choice Requires="x14">
            <control shapeId="2049" r:id="rId3" name="Spinner 1">
              <controlPr defaultSize="0" print="0" autoPict="0" altText="Calendar Year Spinner. Click the spinner to change the school calendar year or type the year in cell AM.">
                <anchor moveWithCells="1" sizeWithCells="1">
                  <from>
                    <xdr:col>39</xdr:col>
                    <xdr:colOff>38100</xdr:colOff>
                    <xdr:row>0</xdr:row>
                    <xdr:rowOff>101600</xdr:rowOff>
                  </from>
                  <to>
                    <xdr:col>39</xdr:col>
                    <xdr:colOff>215900</xdr:colOff>
                    <xdr:row>0</xdr:row>
                    <xdr:rowOff>419100</xdr:rowOff>
                  </to>
                </anchor>
              </controlPr>
            </control>
          </mc:Choice>
          <mc:Fallback/>
        </mc:AlternateContent>
      </controls>
    </mc:Choice>
    <mc:Fallback/>
  </mc:AlternateContent>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AN346"/>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40"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40" customFormat="1" ht="13"/>
    <row r="3" spans="1:40"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40" customFormat="1" ht="16.5" customHeight="1"/>
    <row r="5" spans="1:40" s="2" customFormat="1" ht="18" customHeight="1">
      <c r="B5" s="65">
        <f>DATE(CalendarYear,9,1)</f>
        <v>41153</v>
      </c>
      <c r="C5" s="64"/>
      <c r="D5" s="46" t="str">
        <f>TEXT(WEEKDAY(DATE(CalendarYear,9,1),1),"aaa")</f>
        <v>Sat</v>
      </c>
      <c r="E5" s="46" t="str">
        <f>TEXT(WEEKDAY(DATE(CalendarYear,9,2),1),"aaa")</f>
        <v>Sun</v>
      </c>
      <c r="F5" s="46" t="str">
        <f>TEXT(WEEKDAY(DATE(CalendarYear,9,3),1),"aaa")</f>
        <v>Mon</v>
      </c>
      <c r="G5" s="46" t="str">
        <f>TEXT(WEEKDAY(DATE(CalendarYear,9,4),1),"aaa")</f>
        <v>Tue</v>
      </c>
      <c r="H5" s="46" t="str">
        <f>TEXT(WEEKDAY(DATE(CalendarYear,9,5),1),"aaa")</f>
        <v>Wed</v>
      </c>
      <c r="I5" s="46" t="str">
        <f>TEXT(WEEKDAY(DATE(CalendarYear,9,6),1),"aaa")</f>
        <v>Thu</v>
      </c>
      <c r="J5" s="46" t="str">
        <f>TEXT(WEEKDAY(DATE(CalendarYear,9,7),1),"aaa")</f>
        <v>Fri</v>
      </c>
      <c r="K5" s="46" t="str">
        <f>TEXT(WEEKDAY(DATE(CalendarYear,9,8),1),"aaa")</f>
        <v>Sat</v>
      </c>
      <c r="L5" s="46" t="str">
        <f>TEXT(WEEKDAY(DATE(CalendarYear,9,9),1),"aaa")</f>
        <v>Sun</v>
      </c>
      <c r="M5" s="46" t="str">
        <f>TEXT(WEEKDAY(DATE(CalendarYear,9,10),1),"aaa")</f>
        <v>Mon</v>
      </c>
      <c r="N5" s="46" t="str">
        <f>TEXT(WEEKDAY(DATE(CalendarYear,9,11),1),"aaa")</f>
        <v>Tue</v>
      </c>
      <c r="O5" s="46" t="str">
        <f>TEXT(WEEKDAY(DATE(CalendarYear,9,12),1),"aaa")</f>
        <v>Wed</v>
      </c>
      <c r="P5" s="46" t="str">
        <f>TEXT(WEEKDAY(DATE(CalendarYear,9,13),1),"aaa")</f>
        <v>Thu</v>
      </c>
      <c r="Q5" s="46" t="str">
        <f>TEXT(WEEKDAY(DATE(CalendarYear,9,14),1),"aaa")</f>
        <v>Fri</v>
      </c>
      <c r="R5" s="46" t="str">
        <f>TEXT(WEEKDAY(DATE(CalendarYear,9,15),1),"aaa")</f>
        <v>Sat</v>
      </c>
      <c r="S5" s="46" t="str">
        <f>TEXT(WEEKDAY(DATE(CalendarYear,9,16),1),"aaa")</f>
        <v>Sun</v>
      </c>
      <c r="T5" s="46" t="str">
        <f>TEXT(WEEKDAY(DATE(CalendarYear,9,17),1),"aaa")</f>
        <v>Mon</v>
      </c>
      <c r="U5" s="46" t="str">
        <f>TEXT(WEEKDAY(DATE(CalendarYear,9,18),1),"aaa")</f>
        <v>Tue</v>
      </c>
      <c r="V5" s="46" t="str">
        <f>TEXT(WEEKDAY(DATE(CalendarYear,9,19),1),"aaa")</f>
        <v>Wed</v>
      </c>
      <c r="W5" s="46" t="str">
        <f>TEXT(WEEKDAY(DATE(CalendarYear,9,20),1),"aaa")</f>
        <v>Thu</v>
      </c>
      <c r="X5" s="46" t="str">
        <f>TEXT(WEEKDAY(DATE(CalendarYear,9,21),1),"aaa")</f>
        <v>Fri</v>
      </c>
      <c r="Y5" s="46" t="str">
        <f>TEXT(WEEKDAY(DATE(CalendarYear,9,22),1),"aaa")</f>
        <v>Sat</v>
      </c>
      <c r="Z5" s="46" t="str">
        <f>TEXT(WEEKDAY(DATE(CalendarYear,9,23),1),"aaa")</f>
        <v>Sun</v>
      </c>
      <c r="AA5" s="46" t="str">
        <f>TEXT(WEEKDAY(DATE(CalendarYear,9,24),1),"aaa")</f>
        <v>Mon</v>
      </c>
      <c r="AB5" s="46" t="str">
        <f>TEXT(WEEKDAY(DATE(CalendarYear,9,25),1),"aaa")</f>
        <v>Tue</v>
      </c>
      <c r="AC5" s="46" t="str">
        <f>TEXT(WEEKDAY(DATE(CalendarYear,9,26),1),"aaa")</f>
        <v>Wed</v>
      </c>
      <c r="AD5" s="46" t="str">
        <f>TEXT(WEEKDAY(DATE(CalendarYear,9,27),1),"aaa")</f>
        <v>Thu</v>
      </c>
      <c r="AE5" s="46" t="str">
        <f>TEXT(WEEKDAY(DATE(CalendarYear,9,28),1),"aaa")</f>
        <v>Fri</v>
      </c>
      <c r="AF5" s="46" t="str">
        <f>TEXT(WEEKDAY(DATE(CalendarYear,9,29),1),"aaa")</f>
        <v>Sat</v>
      </c>
      <c r="AG5" s="46" t="str">
        <f>TEXT(WEEKDAY(DATE(CalendarYear,9,30),1),"aaa")</f>
        <v>Sun</v>
      </c>
      <c r="AH5" s="46"/>
      <c r="AI5" s="124" t="s">
        <v>41</v>
      </c>
      <c r="AJ5" s="125"/>
      <c r="AK5" s="125"/>
      <c r="AL5" s="125"/>
      <c r="AM5" s="126"/>
    </row>
    <row r="6" spans="1:40" s="6" customFormat="1" ht="14.25" customHeight="1">
      <c r="B6" s="49" t="s">
        <v>34</v>
      </c>
      <c r="C6" s="5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119</v>
      </c>
      <c r="AI6" s="98" t="s">
        <v>37</v>
      </c>
      <c r="AJ6" s="73" t="s">
        <v>39</v>
      </c>
      <c r="AK6" s="74" t="s">
        <v>38</v>
      </c>
      <c r="AL6" s="75" t="s">
        <v>31</v>
      </c>
      <c r="AM6" s="54" t="s">
        <v>40</v>
      </c>
      <c r="AN6" s="5"/>
    </row>
    <row r="7" spans="1:40" s="6" customFormat="1" ht="16.5" customHeight="1">
      <c r="B7" s="51"/>
      <c r="C7" s="52" t="str">
        <f>IFERROR(VLOOKUP(SeptemberAttendance[[#This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5"/>
      <c r="AH7" s="25"/>
      <c r="AI7" s="7">
        <f>COUNTIF(SeptemberAttendance[[#This Row],[1]:[ ]],Code1)</f>
        <v>0</v>
      </c>
      <c r="AJ7" s="53">
        <f>COUNTIF(SeptemberAttendance[[#This Row],[1]:[ ]],Code2)</f>
        <v>0</v>
      </c>
      <c r="AK7" s="53">
        <f>COUNTIF(SeptemberAttendance[[#This Row],[1]:[ ]],Code3)</f>
        <v>0</v>
      </c>
      <c r="AL7" s="53">
        <f>COUNTIF(SeptemberAttendance[[#This Row],[1]:[ ]],Code4)</f>
        <v>0</v>
      </c>
      <c r="AM7" s="7">
        <f>SUM(SeptemberAttendance[[#This Row],[E]:[U]])</f>
        <v>0</v>
      </c>
      <c r="AN7" s="5"/>
    </row>
    <row r="8" spans="1:40" s="6" customFormat="1" ht="16.5" customHeight="1">
      <c r="B8" s="51"/>
      <c r="C8" s="22" t="str">
        <f>IFERROR(VLOOKUP(SeptemberAttendance[[#This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25"/>
      <c r="AH8" s="25"/>
      <c r="AI8" s="7">
        <f>COUNTIF(SeptemberAttendance[[#This Row],[1]:[ ]],Code1)</f>
        <v>0</v>
      </c>
      <c r="AJ8" s="53">
        <f>COUNTIF(SeptemberAttendance[[#This Row],[1]:[ ]],Code2)</f>
        <v>0</v>
      </c>
      <c r="AK8" s="53">
        <f>COUNTIF(SeptemberAttendance[[#This Row],[1]:[ ]],Code3)</f>
        <v>0</v>
      </c>
      <c r="AL8" s="53">
        <f>COUNTIF(SeptemberAttendance[[#This Row],[1]:[ ]],Code4)</f>
        <v>0</v>
      </c>
      <c r="AM8" s="7">
        <f>SUM(SeptemberAttendance[[#This Row],[E]:[U]])</f>
        <v>0</v>
      </c>
      <c r="AN8" s="5"/>
    </row>
    <row r="9" spans="1:40" s="9" customFormat="1" ht="16.5" customHeight="1">
      <c r="B9" s="51"/>
      <c r="C9" s="22" t="str">
        <f>IFERROR(VLOOKUP(SeptemberAttendance[[#This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25"/>
      <c r="AH9" s="25"/>
      <c r="AI9" s="7">
        <f>COUNTIF(SeptemberAttendance[[#This Row],[1]:[ ]],Code1)</f>
        <v>0</v>
      </c>
      <c r="AJ9" s="53">
        <f>COUNTIF(SeptemberAttendance[[#This Row],[1]:[ ]],Code2)</f>
        <v>0</v>
      </c>
      <c r="AK9" s="53">
        <f>COUNTIF(SeptemberAttendance[[#This Row],[1]:[ ]],Code3)</f>
        <v>0</v>
      </c>
      <c r="AL9" s="53">
        <f>COUNTIF(SeptemberAttendance[[#This Row],[1]:[ ]],Code4)</f>
        <v>0</v>
      </c>
      <c r="AM9" s="7">
        <f>SUM(SeptemberAttendance[[#This Row],[E]:[U]])</f>
        <v>0</v>
      </c>
      <c r="AN9" s="8"/>
    </row>
    <row r="10" spans="1:40" ht="16.5" customHeight="1">
      <c r="B10" s="51"/>
      <c r="C10" s="22" t="str">
        <f>IFERROR(VLOOKUP(SeptemberAttendance[[#This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25"/>
      <c r="AH10" s="25"/>
      <c r="AI10" s="7">
        <f>COUNTIF(SeptemberAttendance[[#This Row],[1]:[ ]],Code1)</f>
        <v>0</v>
      </c>
      <c r="AJ10" s="53">
        <f>COUNTIF(SeptemberAttendance[[#This Row],[1]:[ ]],Code2)</f>
        <v>0</v>
      </c>
      <c r="AK10" s="53">
        <f>COUNTIF(SeptemberAttendance[[#This Row],[1]:[ ]],Code3)</f>
        <v>0</v>
      </c>
      <c r="AL10" s="53">
        <f>COUNTIF(SeptemberAttendance[[#This Row],[1]:[ ]],Code4)</f>
        <v>0</v>
      </c>
      <c r="AM10" s="7">
        <f>SUM(SeptemberAttendance[[#This Row],[E]:[U]])</f>
        <v>0</v>
      </c>
      <c r="AN10" s="11"/>
    </row>
    <row r="11" spans="1:40" ht="16.5" customHeight="1">
      <c r="B11" s="51"/>
      <c r="C11" s="22" t="str">
        <f>IFERROR(VLOOKUP(SeptemberAttendance[[#This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25"/>
      <c r="AH11" s="25"/>
      <c r="AI11" s="7">
        <f>COUNTIF(SeptemberAttendance[[#This Row],[1]:[ ]],Code1)</f>
        <v>0</v>
      </c>
      <c r="AJ11" s="53">
        <f>COUNTIF(SeptemberAttendance[[#This Row],[1]:[ ]],Code2)</f>
        <v>0</v>
      </c>
      <c r="AK11" s="53">
        <f>COUNTIF(SeptemberAttendance[[#This Row],[1]:[ ]],Code3)</f>
        <v>0</v>
      </c>
      <c r="AL11" s="53">
        <f>COUNTIF(SeptemberAttendance[[#This Row],[1]:[ ]],Code4)</f>
        <v>0</v>
      </c>
      <c r="AM11" s="7">
        <f>SUM(SeptemberAttendance[[#This Row],[E]:[U]])</f>
        <v>0</v>
      </c>
      <c r="AN11" s="11"/>
    </row>
    <row r="12" spans="1:40" ht="16.5" customHeight="1">
      <c r="B12" s="3"/>
      <c r="C12" s="4" t="s">
        <v>120</v>
      </c>
      <c r="D12" s="7">
        <f>COUNTIF(SeptemberAttendance[1],"U")+COUNTIF(SeptemberAttendance[1],"E")</f>
        <v>0</v>
      </c>
      <c r="E12" s="7">
        <f>COUNTIF(SeptemberAttendance[2],"U")+COUNTIF(SeptemberAttendance[2],"E")</f>
        <v>0</v>
      </c>
      <c r="F12" s="7">
        <f>COUNTIF(SeptemberAttendance[3],"U")+COUNTIF(SeptemberAttendance[3],"E")</f>
        <v>0</v>
      </c>
      <c r="G12" s="7">
        <f>COUNTIF(SeptemberAttendance[4],"U")+COUNTIF(SeptemberAttendance[4],"E")</f>
        <v>0</v>
      </c>
      <c r="H12" s="7">
        <f>COUNTIF(SeptemberAttendance[5],"U")+COUNTIF(SeptemberAttendance[5],"E")</f>
        <v>0</v>
      </c>
      <c r="I12" s="7">
        <f>COUNTIF(SeptemberAttendance[6],"U")+COUNTIF(SeptemberAttendance[6],"E")</f>
        <v>0</v>
      </c>
      <c r="J12" s="7">
        <f>COUNTIF(SeptemberAttendance[7],"U")+COUNTIF(SeptemberAttendance[7],"E")</f>
        <v>0</v>
      </c>
      <c r="K12" s="7">
        <f>COUNTIF(SeptemberAttendance[8],"U")+COUNTIF(SeptemberAttendance[8],"E")</f>
        <v>0</v>
      </c>
      <c r="L12" s="7">
        <f>COUNTIF(SeptemberAttendance[9],"U")+COUNTIF(SeptemberAttendance[9],"E")</f>
        <v>0</v>
      </c>
      <c r="M12" s="7">
        <f>COUNTIF(SeptemberAttendance[10],"U")+COUNTIF(SeptemberAttendance[10],"E")</f>
        <v>0</v>
      </c>
      <c r="N12" s="7">
        <f>COUNTIF(SeptemberAttendance[11],"U")+COUNTIF(SeptemberAttendance[11],"E")</f>
        <v>0</v>
      </c>
      <c r="O12" s="7">
        <f>COUNTIF(SeptemberAttendance[12],"U")+COUNTIF(SeptemberAttendance[12],"E")</f>
        <v>0</v>
      </c>
      <c r="P12" s="7">
        <f>COUNTIF(SeptemberAttendance[13],"U")+COUNTIF(SeptemberAttendance[13],"E")</f>
        <v>0</v>
      </c>
      <c r="Q12" s="7">
        <f>COUNTIF(SeptemberAttendance[14],"U")+COUNTIF(SeptemberAttendance[14],"E")</f>
        <v>0</v>
      </c>
      <c r="R12" s="7">
        <f>COUNTIF(SeptemberAttendance[15],"U")+COUNTIF(SeptemberAttendance[15],"E")</f>
        <v>0</v>
      </c>
      <c r="S12" s="7">
        <f>COUNTIF(SeptemberAttendance[16],"U")+COUNTIF(SeptemberAttendance[16],"E")</f>
        <v>0</v>
      </c>
      <c r="T12" s="7">
        <f>COUNTIF(SeptemberAttendance[17],"U")+COUNTIF(SeptemberAttendance[17],"E")</f>
        <v>0</v>
      </c>
      <c r="U12" s="7">
        <f>COUNTIF(SeptemberAttendance[18],"U")+COUNTIF(SeptemberAttendance[18],"E")</f>
        <v>0</v>
      </c>
      <c r="V12" s="7">
        <f>COUNTIF(SeptemberAttendance[19],"U")+COUNTIF(SeptemberAttendance[19],"E")</f>
        <v>0</v>
      </c>
      <c r="W12" s="7">
        <f>COUNTIF(SeptemberAttendance[20],"U")+COUNTIF(SeptemberAttendance[20],"E")</f>
        <v>0</v>
      </c>
      <c r="X12" s="7">
        <f>COUNTIF(SeptemberAttendance[21],"U")+COUNTIF(SeptemberAttendance[21],"E")</f>
        <v>0</v>
      </c>
      <c r="Y12" s="7">
        <f>COUNTIF(SeptemberAttendance[22],"U")+COUNTIF(SeptemberAttendance[22],"E")</f>
        <v>0</v>
      </c>
      <c r="Z12" s="7">
        <f>COUNTIF(SeptemberAttendance[23],"U")+COUNTIF(SeptemberAttendance[23],"E")</f>
        <v>0</v>
      </c>
      <c r="AA12" s="7">
        <f>COUNTIF(SeptemberAttendance[24],"U")+COUNTIF(SeptemberAttendance[24],"E")</f>
        <v>0</v>
      </c>
      <c r="AB12" s="7">
        <f>COUNTIF(SeptemberAttendance[25],"U")+COUNTIF(SeptemberAttendance[25],"E")</f>
        <v>0</v>
      </c>
      <c r="AC12" s="7">
        <f>COUNTIF(SeptemberAttendance[26],"U")+COUNTIF(SeptemberAttendance[26],"E")</f>
        <v>0</v>
      </c>
      <c r="AD12" s="7">
        <f>COUNTIF(SeptemberAttendance[27],"U")+COUNTIF(SeptemberAttendance[27],"E")</f>
        <v>0</v>
      </c>
      <c r="AE12" s="7">
        <f>COUNTIF(SeptemberAttendance[28],"U")+COUNTIF(SeptemberAttendance[28],"E")</f>
        <v>0</v>
      </c>
      <c r="AF12" s="7">
        <f>COUNTIF(SeptemberAttendance[29],"U")+COUNTIF(SeptemberAttendance[29],"E")</f>
        <v>0</v>
      </c>
      <c r="AG12" s="7">
        <f>COUNTIF(SeptemberAttendance[30],"U")+COUNTIF(SeptemberAttendance[30],"E")</f>
        <v>0</v>
      </c>
      <c r="AH12" s="7">
        <f>COUNTIF(SeptemberAttendance[[ ]],"U")+COUNTIF(SeptemberAttendance[[ ]],"E")</f>
        <v>0</v>
      </c>
      <c r="AI12" s="7">
        <f>SUBTOTAL(109,SeptemberAttendance[T])</f>
        <v>0</v>
      </c>
      <c r="AJ12" s="7">
        <f>SUBTOTAL(109,SeptemberAttendance[E])</f>
        <v>0</v>
      </c>
      <c r="AK12" s="7">
        <f>SUBTOTAL(109,SeptemberAttendance[U])</f>
        <v>0</v>
      </c>
      <c r="AL12" s="7">
        <f>SUBTOTAL(109,SeptemberAttendance[P])</f>
        <v>0</v>
      </c>
      <c r="AM12" s="7">
        <f>SUBTOTAL(109,SeptemberAttendance[Days Absent])</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909" priority="7" stopIfTrue="1">
      <formula>AG7=Code2</formula>
    </cfRule>
  </conditionalFormatting>
  <conditionalFormatting sqref="AG7:AH11">
    <cfRule type="expression" dxfId="908" priority="8" stopIfTrue="1">
      <formula>AG7=Code5</formula>
    </cfRule>
    <cfRule type="expression" dxfId="907" priority="9" stopIfTrue="1">
      <formula>AG7=Code4</formula>
    </cfRule>
    <cfRule type="expression" dxfId="906" priority="10" stopIfTrue="1">
      <formula>AG7=Code3</formula>
    </cfRule>
    <cfRule type="expression" dxfId="905" priority="11" stopIfTrue="1">
      <formula>AG7=Code1</formula>
    </cfRule>
  </conditionalFormatting>
  <conditionalFormatting sqref="D7:AF11">
    <cfRule type="expression" dxfId="904" priority="1" stopIfTrue="1">
      <formula>D7=Code2</formula>
    </cfRule>
  </conditionalFormatting>
  <conditionalFormatting sqref="D7:AF11">
    <cfRule type="expression" dxfId="903" priority="2" stopIfTrue="1">
      <formula>D7=Code5</formula>
    </cfRule>
    <cfRule type="expression" dxfId="902" priority="3" stopIfTrue="1">
      <formula>D7=Code4</formula>
    </cfRule>
    <cfRule type="expression" dxfId="901" priority="4" stopIfTrue="1">
      <formula>D7=Code3</formula>
    </cfRule>
    <cfRule type="expression" dxfId="900"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N346"/>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40"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40" customFormat="1" ht="13"/>
    <row r="3" spans="1:40"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40" customFormat="1" ht="16.5" customHeight="1"/>
    <row r="5" spans="1:40" s="2" customFormat="1" ht="18" customHeight="1">
      <c r="B5" s="65">
        <f>DATE(CalendarYear,10,1)</f>
        <v>41183</v>
      </c>
      <c r="C5" s="64"/>
      <c r="D5" s="46" t="str">
        <f>TEXT(WEEKDAY(DATE(CalendarYear,10,1),1),"aaa")</f>
        <v>Mon</v>
      </c>
      <c r="E5" s="46" t="str">
        <f>TEXT(WEEKDAY(DATE(CalendarYear,10,2),1),"aaa")</f>
        <v>Tue</v>
      </c>
      <c r="F5" s="46" t="str">
        <f>TEXT(WEEKDAY(DATE(CalendarYear,10,3),1),"aaa")</f>
        <v>Wed</v>
      </c>
      <c r="G5" s="46" t="str">
        <f>TEXT(WEEKDAY(DATE(CalendarYear,10,4),1),"aaa")</f>
        <v>Thu</v>
      </c>
      <c r="H5" s="46" t="str">
        <f>TEXT(WEEKDAY(DATE(CalendarYear,10,5),1),"aaa")</f>
        <v>Fri</v>
      </c>
      <c r="I5" s="46" t="str">
        <f>TEXT(WEEKDAY(DATE(CalendarYear,10,6),1),"aaa")</f>
        <v>Sat</v>
      </c>
      <c r="J5" s="46" t="str">
        <f>TEXT(WEEKDAY(DATE(CalendarYear,10,7),1),"aaa")</f>
        <v>Sun</v>
      </c>
      <c r="K5" s="46" t="str">
        <f>TEXT(WEEKDAY(DATE(CalendarYear,10,8),1),"aaa")</f>
        <v>Mon</v>
      </c>
      <c r="L5" s="46" t="str">
        <f>TEXT(WEEKDAY(DATE(CalendarYear,10,9),1),"aaa")</f>
        <v>Tue</v>
      </c>
      <c r="M5" s="46" t="str">
        <f>TEXT(WEEKDAY(DATE(CalendarYear,10,10),1),"aaa")</f>
        <v>Wed</v>
      </c>
      <c r="N5" s="46" t="str">
        <f>TEXT(WEEKDAY(DATE(CalendarYear,10,11),1),"aaa")</f>
        <v>Thu</v>
      </c>
      <c r="O5" s="46" t="str">
        <f>TEXT(WEEKDAY(DATE(CalendarYear,10,12),1),"aaa")</f>
        <v>Fri</v>
      </c>
      <c r="P5" s="46" t="str">
        <f>TEXT(WEEKDAY(DATE(CalendarYear,10,13),1),"aaa")</f>
        <v>Sat</v>
      </c>
      <c r="Q5" s="46" t="str">
        <f>TEXT(WEEKDAY(DATE(CalendarYear,10,14),1),"aaa")</f>
        <v>Sun</v>
      </c>
      <c r="R5" s="46" t="str">
        <f>TEXT(WEEKDAY(DATE(CalendarYear,10,15),1),"aaa")</f>
        <v>Mon</v>
      </c>
      <c r="S5" s="46" t="str">
        <f>TEXT(WEEKDAY(DATE(CalendarYear,10,16),1),"aaa")</f>
        <v>Tue</v>
      </c>
      <c r="T5" s="46" t="str">
        <f>TEXT(WEEKDAY(DATE(CalendarYear,10,17),1),"aaa")</f>
        <v>Wed</v>
      </c>
      <c r="U5" s="46" t="str">
        <f>TEXT(WEEKDAY(DATE(CalendarYear,10,18),1),"aaa")</f>
        <v>Thu</v>
      </c>
      <c r="V5" s="46" t="str">
        <f>TEXT(WEEKDAY(DATE(CalendarYear,10,19),1),"aaa")</f>
        <v>Fri</v>
      </c>
      <c r="W5" s="46" t="str">
        <f>TEXT(WEEKDAY(DATE(CalendarYear,10,20),1),"aaa")</f>
        <v>Sat</v>
      </c>
      <c r="X5" s="46" t="str">
        <f>TEXT(WEEKDAY(DATE(CalendarYear,10,21),1),"aaa")</f>
        <v>Sun</v>
      </c>
      <c r="Y5" s="46" t="str">
        <f>TEXT(WEEKDAY(DATE(CalendarYear,10,22),1),"aaa")</f>
        <v>Mon</v>
      </c>
      <c r="Z5" s="46" t="str">
        <f>TEXT(WEEKDAY(DATE(CalendarYear,10,23),1),"aaa")</f>
        <v>Tue</v>
      </c>
      <c r="AA5" s="46" t="str">
        <f>TEXT(WEEKDAY(DATE(CalendarYear,10,24),1),"aaa")</f>
        <v>Wed</v>
      </c>
      <c r="AB5" s="46" t="str">
        <f>TEXT(WEEKDAY(DATE(CalendarYear,10,25),1),"aaa")</f>
        <v>Thu</v>
      </c>
      <c r="AC5" s="46" t="str">
        <f>TEXT(WEEKDAY(DATE(CalendarYear,10,26),1),"aaa")</f>
        <v>Fri</v>
      </c>
      <c r="AD5" s="46" t="str">
        <f>TEXT(WEEKDAY(DATE(CalendarYear,10,27),1),"aaa")</f>
        <v>Sat</v>
      </c>
      <c r="AE5" s="46" t="str">
        <f>TEXT(WEEKDAY(DATE(CalendarYear,10,28),1),"aaa")</f>
        <v>Sun</v>
      </c>
      <c r="AF5" s="46" t="str">
        <f>TEXT(WEEKDAY(DATE(CalendarYear,10,29),1),"aaa")</f>
        <v>Mon</v>
      </c>
      <c r="AG5" s="46" t="str">
        <f>TEXT(WEEKDAY(DATE(CalendarYear,10,30),1),"aaa")</f>
        <v>Tue</v>
      </c>
      <c r="AH5" s="46" t="str">
        <f>TEXT(WEEKDAY(DATE(CalendarYear,10,31),1),"aaa")</f>
        <v>Wed</v>
      </c>
      <c r="AI5" s="124" t="s">
        <v>41</v>
      </c>
      <c r="AJ5" s="125"/>
      <c r="AK5" s="125"/>
      <c r="AL5" s="125"/>
      <c r="AM5" s="126"/>
    </row>
    <row r="6" spans="1:40" s="6" customFormat="1" ht="14.25" customHeight="1">
      <c r="B6" s="49" t="s">
        <v>34</v>
      </c>
      <c r="C6" s="5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8" t="s">
        <v>37</v>
      </c>
      <c r="AJ6" s="73" t="s">
        <v>39</v>
      </c>
      <c r="AK6" s="74" t="s">
        <v>38</v>
      </c>
      <c r="AL6" s="75" t="s">
        <v>31</v>
      </c>
      <c r="AM6" s="54" t="s">
        <v>40</v>
      </c>
      <c r="AN6" s="5"/>
    </row>
    <row r="7" spans="1:40" s="6" customFormat="1" ht="16.5" customHeight="1">
      <c r="B7" s="51"/>
      <c r="C7" s="52" t="str">
        <f>IFERROR(VLOOKUP(OctoberAttendance[[#This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5"/>
      <c r="AH7" s="25"/>
      <c r="AI7" s="7">
        <f>COUNTIF(OctoberAttendance[[#This Row],[1]:[31]],Code1)</f>
        <v>0</v>
      </c>
      <c r="AJ7" s="53">
        <f>COUNTIF(OctoberAttendance[[#This Row],[1]:[31]],Code2)</f>
        <v>0</v>
      </c>
      <c r="AK7" s="53">
        <f>COUNTIF(OctoberAttendance[[#This Row],[1]:[31]],Code3)</f>
        <v>0</v>
      </c>
      <c r="AL7" s="53">
        <f>COUNTIF(OctoberAttendance[[#This Row],[1]:[31]],Code4)</f>
        <v>0</v>
      </c>
      <c r="AM7" s="7">
        <f>SUM(OctoberAttendance[[#This Row],[E]:[U]])</f>
        <v>0</v>
      </c>
      <c r="AN7" s="5"/>
    </row>
    <row r="8" spans="1:40" s="6" customFormat="1" ht="16.5" customHeight="1">
      <c r="B8" s="51"/>
      <c r="C8" s="22" t="str">
        <f>IFERROR(VLOOKUP(OctoberAttendance[[#This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25"/>
      <c r="AH8" s="25"/>
      <c r="AI8" s="7">
        <f>COUNTIF(OctoberAttendance[[#This Row],[1]:[31]],Code1)</f>
        <v>0</v>
      </c>
      <c r="AJ8" s="53">
        <f>COUNTIF(OctoberAttendance[[#This Row],[1]:[31]],Code2)</f>
        <v>0</v>
      </c>
      <c r="AK8" s="53">
        <f>COUNTIF(OctoberAttendance[[#This Row],[1]:[31]],Code3)</f>
        <v>0</v>
      </c>
      <c r="AL8" s="53">
        <f>COUNTIF(OctoberAttendance[[#This Row],[1]:[31]],Code4)</f>
        <v>0</v>
      </c>
      <c r="AM8" s="7">
        <f>SUM(OctoberAttendance[[#This Row],[E]:[U]])</f>
        <v>0</v>
      </c>
      <c r="AN8" s="5"/>
    </row>
    <row r="9" spans="1:40" s="9" customFormat="1" ht="16.5" customHeight="1">
      <c r="B9" s="51"/>
      <c r="C9" s="22" t="str">
        <f>IFERROR(VLOOKUP(OctoberAttendance[[#This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25"/>
      <c r="AH9" s="25"/>
      <c r="AI9" s="7">
        <f>COUNTIF(OctoberAttendance[[#This Row],[1]:[31]],Code1)</f>
        <v>0</v>
      </c>
      <c r="AJ9" s="53">
        <f>COUNTIF(OctoberAttendance[[#This Row],[1]:[31]],Code2)</f>
        <v>0</v>
      </c>
      <c r="AK9" s="53">
        <f>COUNTIF(OctoberAttendance[[#This Row],[1]:[31]],Code3)</f>
        <v>0</v>
      </c>
      <c r="AL9" s="53">
        <f>COUNTIF(OctoberAttendance[[#This Row],[1]:[31]],Code4)</f>
        <v>0</v>
      </c>
      <c r="AM9" s="7">
        <f>SUM(OctoberAttendance[[#This Row],[E]:[U]])</f>
        <v>0</v>
      </c>
      <c r="AN9" s="8"/>
    </row>
    <row r="10" spans="1:40" ht="16.5" customHeight="1">
      <c r="B10" s="51"/>
      <c r="C10" s="22" t="str">
        <f>IFERROR(VLOOKUP(OctoberAttendance[[#This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25"/>
      <c r="AH10" s="25"/>
      <c r="AI10" s="7">
        <f>COUNTIF(OctoberAttendance[[#This Row],[1]:[31]],Code1)</f>
        <v>0</v>
      </c>
      <c r="AJ10" s="53">
        <f>COUNTIF(OctoberAttendance[[#This Row],[1]:[31]],Code2)</f>
        <v>0</v>
      </c>
      <c r="AK10" s="53">
        <f>COUNTIF(OctoberAttendance[[#This Row],[1]:[31]],Code3)</f>
        <v>0</v>
      </c>
      <c r="AL10" s="53">
        <f>COUNTIF(OctoberAttendance[[#This Row],[1]:[31]],Code4)</f>
        <v>0</v>
      </c>
      <c r="AM10" s="7">
        <f>SUM(OctoberAttendance[[#This Row],[E]:[U]])</f>
        <v>0</v>
      </c>
      <c r="AN10" s="11"/>
    </row>
    <row r="11" spans="1:40" ht="16.5" customHeight="1">
      <c r="B11" s="51"/>
      <c r="C11" s="22" t="str">
        <f>IFERROR(VLOOKUP(OctoberAttendance[[#This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25"/>
      <c r="AH11" s="25"/>
      <c r="AI11" s="7">
        <f>COUNTIF(OctoberAttendance[[#This Row],[1]:[31]],Code1)</f>
        <v>0</v>
      </c>
      <c r="AJ11" s="53">
        <f>COUNTIF(OctoberAttendance[[#This Row],[1]:[31]],Code2)</f>
        <v>0</v>
      </c>
      <c r="AK11" s="53">
        <f>COUNTIF(OctoberAttendance[[#This Row],[1]:[31]],Code3)</f>
        <v>0</v>
      </c>
      <c r="AL11" s="53">
        <f>COUNTIF(OctoberAttendance[[#This Row],[1]:[31]],Code4)</f>
        <v>0</v>
      </c>
      <c r="AM11" s="7">
        <f>SUM(OctoberAttendance[[#This Row],[E]:[U]])</f>
        <v>0</v>
      </c>
      <c r="AN11" s="11"/>
    </row>
    <row r="12" spans="1:40" ht="16.5" customHeight="1">
      <c r="B12" s="3"/>
      <c r="C12" s="4" t="s">
        <v>120</v>
      </c>
      <c r="D12" s="7">
        <f>COUNTIF(OctoberAttendance[1],"U")+COUNTIF(OctoberAttendance[1],"E")</f>
        <v>0</v>
      </c>
      <c r="E12" s="7">
        <f>COUNTIF(OctoberAttendance[2],"U")+COUNTIF(OctoberAttendance[2],"E")</f>
        <v>0</v>
      </c>
      <c r="F12" s="7">
        <f>COUNTIF(OctoberAttendance[3],"U")+COUNTIF(OctoberAttendance[3],"E")</f>
        <v>0</v>
      </c>
      <c r="G12" s="7">
        <f>COUNTIF(OctoberAttendance[4],"U")+COUNTIF(OctoberAttendance[4],"E")</f>
        <v>0</v>
      </c>
      <c r="H12" s="7">
        <f>COUNTIF(OctoberAttendance[5],"U")+COUNTIF(OctoberAttendance[5],"E")</f>
        <v>0</v>
      </c>
      <c r="I12" s="7">
        <f>COUNTIF(OctoberAttendance[6],"U")+COUNTIF(OctoberAttendance[6],"E")</f>
        <v>0</v>
      </c>
      <c r="J12" s="7">
        <f>COUNTIF(OctoberAttendance[7],"U")+COUNTIF(OctoberAttendance[7],"E")</f>
        <v>0</v>
      </c>
      <c r="K12" s="7">
        <f>COUNTIF(OctoberAttendance[8],"U")+COUNTIF(OctoberAttendance[8],"E")</f>
        <v>0</v>
      </c>
      <c r="L12" s="7">
        <f>COUNTIF(OctoberAttendance[9],"U")+COUNTIF(OctoberAttendance[9],"E")</f>
        <v>0</v>
      </c>
      <c r="M12" s="7">
        <f>COUNTIF(OctoberAttendance[10],"U")+COUNTIF(OctoberAttendance[10],"E")</f>
        <v>0</v>
      </c>
      <c r="N12" s="7">
        <f>COUNTIF(OctoberAttendance[11],"U")+COUNTIF(OctoberAttendance[11],"E")</f>
        <v>0</v>
      </c>
      <c r="O12" s="7">
        <f>COUNTIF(OctoberAttendance[12],"U")+COUNTIF(OctoberAttendance[12],"E")</f>
        <v>0</v>
      </c>
      <c r="P12" s="7">
        <f>COUNTIF(OctoberAttendance[13],"U")+COUNTIF(OctoberAttendance[13],"E")</f>
        <v>0</v>
      </c>
      <c r="Q12" s="7">
        <f>COUNTIF(OctoberAttendance[14],"U")+COUNTIF(OctoberAttendance[14],"E")</f>
        <v>0</v>
      </c>
      <c r="R12" s="7">
        <f>COUNTIF(OctoberAttendance[15],"U")+COUNTIF(OctoberAttendance[15],"E")</f>
        <v>0</v>
      </c>
      <c r="S12" s="7">
        <f>COUNTIF(OctoberAttendance[16],"U")+COUNTIF(OctoberAttendance[16],"E")</f>
        <v>0</v>
      </c>
      <c r="T12" s="7">
        <f>COUNTIF(OctoberAttendance[17],"U")+COUNTIF(OctoberAttendance[17],"E")</f>
        <v>0</v>
      </c>
      <c r="U12" s="7">
        <f>COUNTIF(OctoberAttendance[18],"U")+COUNTIF(OctoberAttendance[18],"E")</f>
        <v>0</v>
      </c>
      <c r="V12" s="7">
        <f>COUNTIF(OctoberAttendance[19],"U")+COUNTIF(OctoberAttendance[19],"E")</f>
        <v>0</v>
      </c>
      <c r="W12" s="7">
        <f>COUNTIF(OctoberAttendance[20],"U")+COUNTIF(OctoberAttendance[20],"E")</f>
        <v>0</v>
      </c>
      <c r="X12" s="7">
        <f>COUNTIF(OctoberAttendance[21],"U")+COUNTIF(OctoberAttendance[21],"E")</f>
        <v>0</v>
      </c>
      <c r="Y12" s="7">
        <f>COUNTIF(OctoberAttendance[22],"U")+COUNTIF(OctoberAttendance[22],"E")</f>
        <v>0</v>
      </c>
      <c r="Z12" s="7">
        <f>COUNTIF(OctoberAttendance[23],"U")+COUNTIF(OctoberAttendance[23],"E")</f>
        <v>0</v>
      </c>
      <c r="AA12" s="7">
        <f>COUNTIF(OctoberAttendance[24],"U")+COUNTIF(OctoberAttendance[24],"E")</f>
        <v>0</v>
      </c>
      <c r="AB12" s="7">
        <f>COUNTIF(OctoberAttendance[25],"U")+COUNTIF(OctoberAttendance[25],"E")</f>
        <v>0</v>
      </c>
      <c r="AC12" s="7">
        <f>COUNTIF(OctoberAttendance[26],"U")+COUNTIF(OctoberAttendance[26],"E")</f>
        <v>0</v>
      </c>
      <c r="AD12" s="7">
        <f>COUNTIF(OctoberAttendance[27],"U")+COUNTIF(OctoberAttendance[27],"E")</f>
        <v>0</v>
      </c>
      <c r="AE12" s="7">
        <f>COUNTIF(OctoberAttendance[28],"U")+COUNTIF(OctoberAttendance[28],"E")</f>
        <v>0</v>
      </c>
      <c r="AF12" s="7">
        <f>COUNTIF(OctoberAttendance[29],"U")+COUNTIF(OctoberAttendance[29],"E")</f>
        <v>0</v>
      </c>
      <c r="AG12" s="7">
        <f>COUNTIF(OctoberAttendance[30],"U")+COUNTIF(OctoberAttendance[30],"E")</f>
        <v>0</v>
      </c>
      <c r="AH12" s="7">
        <f>COUNTIF(OctoberAttendance[31],"U")+COUNTIF(OctoberAttendance[31],"E")</f>
        <v>0</v>
      </c>
      <c r="AI12" s="7">
        <f>SUBTOTAL(109,OctoberAttendance[T])</f>
        <v>0</v>
      </c>
      <c r="AJ12" s="7">
        <f>SUBTOTAL(109,OctoberAttendance[E])</f>
        <v>0</v>
      </c>
      <c r="AK12" s="7">
        <f>SUBTOTAL(109,OctoberAttendance[U])</f>
        <v>0</v>
      </c>
      <c r="AL12" s="7">
        <f>SUBTOTAL(109,OctoberAttendance[P])</f>
        <v>0</v>
      </c>
      <c r="AM12" s="7">
        <f>SUBTOTAL(109,OctoberAttendance[Days Absent])</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827" priority="7" stopIfTrue="1">
      <formula>AG7=Code2</formula>
    </cfRule>
  </conditionalFormatting>
  <conditionalFormatting sqref="AG7:AH11">
    <cfRule type="expression" dxfId="826" priority="8" stopIfTrue="1">
      <formula>AG7=Code5</formula>
    </cfRule>
    <cfRule type="expression" dxfId="825" priority="9" stopIfTrue="1">
      <formula>AG7=Code4</formula>
    </cfRule>
    <cfRule type="expression" dxfId="824" priority="10" stopIfTrue="1">
      <formula>AG7=Code3</formula>
    </cfRule>
    <cfRule type="expression" dxfId="823" priority="11" stopIfTrue="1">
      <formula>AG7=Code1</formula>
    </cfRule>
  </conditionalFormatting>
  <conditionalFormatting sqref="D7:AF11">
    <cfRule type="expression" dxfId="822" priority="1" stopIfTrue="1">
      <formula>D7=Code2</formula>
    </cfRule>
  </conditionalFormatting>
  <conditionalFormatting sqref="D7:AF11">
    <cfRule type="expression" dxfId="821" priority="2" stopIfTrue="1">
      <formula>D7=Code5</formula>
    </cfRule>
    <cfRule type="expression" dxfId="820" priority="3" stopIfTrue="1">
      <formula>D7=Code4</formula>
    </cfRule>
    <cfRule type="expression" dxfId="819" priority="4" stopIfTrue="1">
      <formula>D7=Code3</formula>
    </cfRule>
    <cfRule type="expression" dxfId="818"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AN346"/>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40"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40" customFormat="1" ht="13"/>
    <row r="3" spans="1:40"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40" customFormat="1" ht="16.5" customHeight="1"/>
    <row r="5" spans="1:40" s="2" customFormat="1" ht="18" customHeight="1">
      <c r="B5" s="65">
        <f>DATE(CalendarYear,11,1)</f>
        <v>41214</v>
      </c>
      <c r="C5" s="64"/>
      <c r="D5" s="46" t="str">
        <f>TEXT(WEEKDAY(DATE(CalendarYear,11,1),1),"aaa")</f>
        <v>Thu</v>
      </c>
      <c r="E5" s="46" t="str">
        <f>TEXT(WEEKDAY(DATE(CalendarYear,11,2),1),"aaa")</f>
        <v>Fri</v>
      </c>
      <c r="F5" s="46" t="str">
        <f>TEXT(WEEKDAY(DATE(CalendarYear,11,3),1),"aaa")</f>
        <v>Sat</v>
      </c>
      <c r="G5" s="46" t="str">
        <f>TEXT(WEEKDAY(DATE(CalendarYear,11,4),1),"aaa")</f>
        <v>Sun</v>
      </c>
      <c r="H5" s="46" t="str">
        <f>TEXT(WEEKDAY(DATE(CalendarYear,11,5),1),"aaa")</f>
        <v>Mon</v>
      </c>
      <c r="I5" s="46" t="str">
        <f>TEXT(WEEKDAY(DATE(CalendarYear,11,6),1),"aaa")</f>
        <v>Tue</v>
      </c>
      <c r="J5" s="46" t="str">
        <f>TEXT(WEEKDAY(DATE(CalendarYear,11,7),1),"aaa")</f>
        <v>Wed</v>
      </c>
      <c r="K5" s="46" t="str">
        <f>TEXT(WEEKDAY(DATE(CalendarYear,11,8),1),"aaa")</f>
        <v>Thu</v>
      </c>
      <c r="L5" s="46" t="str">
        <f>TEXT(WEEKDAY(DATE(CalendarYear,11,9),1),"aaa")</f>
        <v>Fri</v>
      </c>
      <c r="M5" s="46" t="str">
        <f>TEXT(WEEKDAY(DATE(CalendarYear,11,10),1),"aaa")</f>
        <v>Sat</v>
      </c>
      <c r="N5" s="46" t="str">
        <f>TEXT(WEEKDAY(DATE(CalendarYear,11,11),1),"aaa")</f>
        <v>Sun</v>
      </c>
      <c r="O5" s="46" t="str">
        <f>TEXT(WEEKDAY(DATE(CalendarYear,11,12),1),"aaa")</f>
        <v>Mon</v>
      </c>
      <c r="P5" s="46" t="str">
        <f>TEXT(WEEKDAY(DATE(CalendarYear,11,13),1),"aaa")</f>
        <v>Tue</v>
      </c>
      <c r="Q5" s="46" t="str">
        <f>TEXT(WEEKDAY(DATE(CalendarYear,11,14),1),"aaa")</f>
        <v>Wed</v>
      </c>
      <c r="R5" s="46" t="str">
        <f>TEXT(WEEKDAY(DATE(CalendarYear,11,15),1),"aaa")</f>
        <v>Thu</v>
      </c>
      <c r="S5" s="46" t="str">
        <f>TEXT(WEEKDAY(DATE(CalendarYear,11,16),1),"aaa")</f>
        <v>Fri</v>
      </c>
      <c r="T5" s="46" t="str">
        <f>TEXT(WEEKDAY(DATE(CalendarYear,11,17),1),"aaa")</f>
        <v>Sat</v>
      </c>
      <c r="U5" s="46" t="str">
        <f>TEXT(WEEKDAY(DATE(CalendarYear,11,18),1),"aaa")</f>
        <v>Sun</v>
      </c>
      <c r="V5" s="46" t="str">
        <f>TEXT(WEEKDAY(DATE(CalendarYear,11,19),1),"aaa")</f>
        <v>Mon</v>
      </c>
      <c r="W5" s="46" t="str">
        <f>TEXT(WEEKDAY(DATE(CalendarYear,11,20),1),"aaa")</f>
        <v>Tue</v>
      </c>
      <c r="X5" s="46" t="str">
        <f>TEXT(WEEKDAY(DATE(CalendarYear,11,21),1),"aaa")</f>
        <v>Wed</v>
      </c>
      <c r="Y5" s="46" t="str">
        <f>TEXT(WEEKDAY(DATE(CalendarYear,11,22),1),"aaa")</f>
        <v>Thu</v>
      </c>
      <c r="Z5" s="46" t="str">
        <f>TEXT(WEEKDAY(DATE(CalendarYear,11,23),1),"aaa")</f>
        <v>Fri</v>
      </c>
      <c r="AA5" s="46" t="str">
        <f>TEXT(WEEKDAY(DATE(CalendarYear,11,24),1),"aaa")</f>
        <v>Sat</v>
      </c>
      <c r="AB5" s="46" t="str">
        <f>TEXT(WEEKDAY(DATE(CalendarYear,11,25),1),"aaa")</f>
        <v>Sun</v>
      </c>
      <c r="AC5" s="46" t="str">
        <f>TEXT(WEEKDAY(DATE(CalendarYear,11,26),1),"aaa")</f>
        <v>Mon</v>
      </c>
      <c r="AD5" s="46" t="str">
        <f>TEXT(WEEKDAY(DATE(CalendarYear,11,27),1),"aaa")</f>
        <v>Tue</v>
      </c>
      <c r="AE5" s="46" t="str">
        <f>TEXT(WEEKDAY(DATE(CalendarYear,11,28),1),"aaa")</f>
        <v>Wed</v>
      </c>
      <c r="AF5" s="46" t="str">
        <f>TEXT(WEEKDAY(DATE(CalendarYear,11,29),1),"aaa")</f>
        <v>Thu</v>
      </c>
      <c r="AG5" s="46" t="str">
        <f>TEXT(WEEKDAY(DATE(CalendarYear,11,30),1),"aaa")</f>
        <v>Fri</v>
      </c>
      <c r="AH5" s="46"/>
      <c r="AI5" s="124" t="s">
        <v>41</v>
      </c>
      <c r="AJ5" s="125"/>
      <c r="AK5" s="125"/>
      <c r="AL5" s="125"/>
      <c r="AM5" s="126"/>
    </row>
    <row r="6" spans="1:40" s="6" customFormat="1" ht="14.25" customHeight="1">
      <c r="B6" s="49" t="s">
        <v>34</v>
      </c>
      <c r="C6" s="5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119</v>
      </c>
      <c r="AI6" s="98" t="s">
        <v>37</v>
      </c>
      <c r="AJ6" s="73" t="s">
        <v>39</v>
      </c>
      <c r="AK6" s="74" t="s">
        <v>38</v>
      </c>
      <c r="AL6" s="75" t="s">
        <v>31</v>
      </c>
      <c r="AM6" s="54" t="s">
        <v>40</v>
      </c>
      <c r="AN6" s="5"/>
    </row>
    <row r="7" spans="1:40" s="6" customFormat="1" ht="16.5" customHeight="1">
      <c r="B7" s="51"/>
      <c r="C7" s="52" t="str">
        <f>IFERROR(VLOOKUP(NovemberAttendance[[#This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5"/>
      <c r="AH7" s="25"/>
      <c r="AI7" s="7">
        <f>COUNTIF(NovemberAttendance[[#This Row],[1]:[ ]],Code1)</f>
        <v>0</v>
      </c>
      <c r="AJ7" s="53">
        <f>COUNTIF(NovemberAttendance[[#This Row],[1]:[ ]],Code2)</f>
        <v>0</v>
      </c>
      <c r="AK7" s="53">
        <f>COUNTIF(NovemberAttendance[[#This Row],[1]:[ ]],Code3)</f>
        <v>0</v>
      </c>
      <c r="AL7" s="53">
        <f>COUNTIF(NovemberAttendance[[#This Row],[1]:[ ]],Code4)</f>
        <v>0</v>
      </c>
      <c r="AM7" s="7">
        <f>SUM(NovemberAttendance[[#This Row],[E]:[U]])</f>
        <v>0</v>
      </c>
      <c r="AN7" s="5"/>
    </row>
    <row r="8" spans="1:40" s="6" customFormat="1" ht="16.5" customHeight="1">
      <c r="B8" s="51"/>
      <c r="C8" s="22" t="str">
        <f>IFERROR(VLOOKUP(NovemberAttendance[[#This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25"/>
      <c r="AH8" s="25"/>
      <c r="AI8" s="7">
        <f>COUNTIF(NovemberAttendance[[#This Row],[1]:[ ]],Code1)</f>
        <v>0</v>
      </c>
      <c r="AJ8" s="53">
        <f>COUNTIF(NovemberAttendance[[#This Row],[1]:[ ]],Code2)</f>
        <v>0</v>
      </c>
      <c r="AK8" s="53">
        <f>COUNTIF(NovemberAttendance[[#This Row],[1]:[ ]],Code3)</f>
        <v>0</v>
      </c>
      <c r="AL8" s="53">
        <f>COUNTIF(NovemberAttendance[[#This Row],[1]:[ ]],Code4)</f>
        <v>0</v>
      </c>
      <c r="AM8" s="7">
        <f>SUM(NovemberAttendance[[#This Row],[E]:[U]])</f>
        <v>0</v>
      </c>
      <c r="AN8" s="5"/>
    </row>
    <row r="9" spans="1:40" s="9" customFormat="1" ht="16.5" customHeight="1">
      <c r="B9" s="51"/>
      <c r="C9" s="22" t="str">
        <f>IFERROR(VLOOKUP(NovemberAttendance[[#This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25"/>
      <c r="AH9" s="25"/>
      <c r="AI9" s="7">
        <f>COUNTIF(NovemberAttendance[[#This Row],[1]:[ ]],Code1)</f>
        <v>0</v>
      </c>
      <c r="AJ9" s="53">
        <f>COUNTIF(NovemberAttendance[[#This Row],[1]:[ ]],Code2)</f>
        <v>0</v>
      </c>
      <c r="AK9" s="53">
        <f>COUNTIF(NovemberAttendance[[#This Row],[1]:[ ]],Code3)</f>
        <v>0</v>
      </c>
      <c r="AL9" s="53">
        <f>COUNTIF(NovemberAttendance[[#This Row],[1]:[ ]],Code4)</f>
        <v>0</v>
      </c>
      <c r="AM9" s="7">
        <f>SUM(NovemberAttendance[[#This Row],[E]:[U]])</f>
        <v>0</v>
      </c>
      <c r="AN9" s="8"/>
    </row>
    <row r="10" spans="1:40" ht="16.5" customHeight="1">
      <c r="B10" s="51"/>
      <c r="C10" s="22" t="str">
        <f>IFERROR(VLOOKUP(NovemberAttendance[[#This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25"/>
      <c r="AH10" s="25"/>
      <c r="AI10" s="7">
        <f>COUNTIF(NovemberAttendance[[#This Row],[1]:[ ]],Code1)</f>
        <v>0</v>
      </c>
      <c r="AJ10" s="53">
        <f>COUNTIF(NovemberAttendance[[#This Row],[1]:[ ]],Code2)</f>
        <v>0</v>
      </c>
      <c r="AK10" s="53">
        <f>COUNTIF(NovemberAttendance[[#This Row],[1]:[ ]],Code3)</f>
        <v>0</v>
      </c>
      <c r="AL10" s="53">
        <f>COUNTIF(NovemberAttendance[[#This Row],[1]:[ ]],Code4)</f>
        <v>0</v>
      </c>
      <c r="AM10" s="7">
        <f>SUM(NovemberAttendance[[#This Row],[E]:[U]])</f>
        <v>0</v>
      </c>
      <c r="AN10" s="11"/>
    </row>
    <row r="11" spans="1:40" ht="16.5" customHeight="1">
      <c r="B11" s="51"/>
      <c r="C11" s="22" t="str">
        <f>IFERROR(VLOOKUP(NovemberAttendance[[#This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25"/>
      <c r="AH11" s="25"/>
      <c r="AI11" s="7">
        <f>COUNTIF(NovemberAttendance[[#This Row],[1]:[ ]],Code1)</f>
        <v>0</v>
      </c>
      <c r="AJ11" s="53">
        <f>COUNTIF(NovemberAttendance[[#This Row],[1]:[ ]],Code2)</f>
        <v>0</v>
      </c>
      <c r="AK11" s="53">
        <f>COUNTIF(NovemberAttendance[[#This Row],[1]:[ ]],Code3)</f>
        <v>0</v>
      </c>
      <c r="AL11" s="53">
        <f>COUNTIF(NovemberAttendance[[#This Row],[1]:[ ]],Code4)</f>
        <v>0</v>
      </c>
      <c r="AM11" s="7">
        <f>SUM(NovemberAttendance[[#This Row],[E]:[U]])</f>
        <v>0</v>
      </c>
      <c r="AN11" s="11"/>
    </row>
    <row r="12" spans="1:40" ht="16.5" customHeight="1">
      <c r="B12" s="3"/>
      <c r="C12" s="4" t="s">
        <v>120</v>
      </c>
      <c r="D12" s="7">
        <f>COUNTIF(NovemberAttendance[1],"U")+COUNTIF(NovemberAttendance[1],"E")</f>
        <v>0</v>
      </c>
      <c r="E12" s="7">
        <f>COUNTIF(NovemberAttendance[2],"U")+COUNTIF(NovemberAttendance[2],"E")</f>
        <v>0</v>
      </c>
      <c r="F12" s="7">
        <f>COUNTIF(NovemberAttendance[3],"U")+COUNTIF(NovemberAttendance[3],"E")</f>
        <v>0</v>
      </c>
      <c r="G12" s="7">
        <f>COUNTIF(NovemberAttendance[4],"U")+COUNTIF(NovemberAttendance[4],"E")</f>
        <v>0</v>
      </c>
      <c r="H12" s="7">
        <f>COUNTIF(NovemberAttendance[5],"U")+COUNTIF(NovemberAttendance[5],"E")</f>
        <v>0</v>
      </c>
      <c r="I12" s="7">
        <f>COUNTIF(NovemberAttendance[6],"U")+COUNTIF(NovemberAttendance[6],"E")</f>
        <v>0</v>
      </c>
      <c r="J12" s="7">
        <f>COUNTIF(NovemberAttendance[7],"U")+COUNTIF(NovemberAttendance[7],"E")</f>
        <v>0</v>
      </c>
      <c r="K12" s="7">
        <f>COUNTIF(NovemberAttendance[8],"U")+COUNTIF(NovemberAttendance[8],"E")</f>
        <v>0</v>
      </c>
      <c r="L12" s="7">
        <f>COUNTIF(NovemberAttendance[9],"U")+COUNTIF(NovemberAttendance[9],"E")</f>
        <v>0</v>
      </c>
      <c r="M12" s="7">
        <f>COUNTIF(NovemberAttendance[10],"U")+COUNTIF(NovemberAttendance[10],"E")</f>
        <v>0</v>
      </c>
      <c r="N12" s="7">
        <f>COUNTIF(NovemberAttendance[11],"U")+COUNTIF(NovemberAttendance[11],"E")</f>
        <v>0</v>
      </c>
      <c r="O12" s="7">
        <f>COUNTIF(NovemberAttendance[12],"U")+COUNTIF(NovemberAttendance[12],"E")</f>
        <v>0</v>
      </c>
      <c r="P12" s="7">
        <f>COUNTIF(NovemberAttendance[13],"U")+COUNTIF(NovemberAttendance[13],"E")</f>
        <v>0</v>
      </c>
      <c r="Q12" s="7">
        <f>COUNTIF(NovemberAttendance[14],"U")+COUNTIF(NovemberAttendance[14],"E")</f>
        <v>0</v>
      </c>
      <c r="R12" s="7">
        <f>COUNTIF(NovemberAttendance[15],"U")+COUNTIF(NovemberAttendance[15],"E")</f>
        <v>0</v>
      </c>
      <c r="S12" s="7">
        <f>COUNTIF(NovemberAttendance[16],"U")+COUNTIF(NovemberAttendance[16],"E")</f>
        <v>0</v>
      </c>
      <c r="T12" s="7">
        <f>COUNTIF(NovemberAttendance[17],"U")+COUNTIF(NovemberAttendance[17],"E")</f>
        <v>0</v>
      </c>
      <c r="U12" s="7">
        <f>COUNTIF(NovemberAttendance[18],"U")+COUNTIF(NovemberAttendance[18],"E")</f>
        <v>0</v>
      </c>
      <c r="V12" s="7">
        <f>COUNTIF(NovemberAttendance[19],"U")+COUNTIF(NovemberAttendance[19],"E")</f>
        <v>0</v>
      </c>
      <c r="W12" s="7">
        <f>COUNTIF(NovemberAttendance[20],"U")+COUNTIF(NovemberAttendance[20],"E")</f>
        <v>0</v>
      </c>
      <c r="X12" s="7">
        <f>COUNTIF(NovemberAttendance[21],"U")+COUNTIF(NovemberAttendance[21],"E")</f>
        <v>0</v>
      </c>
      <c r="Y12" s="7">
        <f>COUNTIF(NovemberAttendance[22],"U")+COUNTIF(NovemberAttendance[22],"E")</f>
        <v>0</v>
      </c>
      <c r="Z12" s="7">
        <f>COUNTIF(NovemberAttendance[23],"U")+COUNTIF(NovemberAttendance[23],"E")</f>
        <v>0</v>
      </c>
      <c r="AA12" s="7">
        <f>COUNTIF(NovemberAttendance[24],"U")+COUNTIF(NovemberAttendance[24],"E")</f>
        <v>0</v>
      </c>
      <c r="AB12" s="7">
        <f>COUNTIF(NovemberAttendance[25],"U")+COUNTIF(NovemberAttendance[25],"E")</f>
        <v>0</v>
      </c>
      <c r="AC12" s="7">
        <f>COUNTIF(NovemberAttendance[26],"U")+COUNTIF(NovemberAttendance[26],"E")</f>
        <v>0</v>
      </c>
      <c r="AD12" s="7">
        <f>COUNTIF(NovemberAttendance[27],"U")+COUNTIF(NovemberAttendance[27],"E")</f>
        <v>0</v>
      </c>
      <c r="AE12" s="7">
        <f>COUNTIF(NovemberAttendance[28],"U")+COUNTIF(NovemberAttendance[28],"E")</f>
        <v>0</v>
      </c>
      <c r="AF12" s="7">
        <f>COUNTIF(NovemberAttendance[29],"U")+COUNTIF(NovemberAttendance[29],"E")</f>
        <v>0</v>
      </c>
      <c r="AG12" s="7">
        <f>COUNTIF(NovemberAttendance[30],"U")+COUNTIF(NovemberAttendance[30],"E")</f>
        <v>0</v>
      </c>
      <c r="AH12" s="7">
        <f>COUNTIF(NovemberAttendance[[ ]],"U")+COUNTIF(NovemberAttendance[[ ]],"E")</f>
        <v>0</v>
      </c>
      <c r="AI12" s="7">
        <f>SUBTOTAL(109,NovemberAttendance[T])</f>
        <v>0</v>
      </c>
      <c r="AJ12" s="7">
        <f>SUBTOTAL(109,NovemberAttendance[E])</f>
        <v>0</v>
      </c>
      <c r="AK12" s="7">
        <f>SUBTOTAL(109,NovemberAttendance[U])</f>
        <v>0</v>
      </c>
      <c r="AL12" s="7">
        <f>SUBTOTAL(109,NovemberAttendance[P])</f>
        <v>0</v>
      </c>
      <c r="AM12" s="7">
        <f>SUBTOTAL(109,NovemberAttendance[Days Absent])</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745" priority="7" stopIfTrue="1">
      <formula>AG7=Code2</formula>
    </cfRule>
  </conditionalFormatting>
  <conditionalFormatting sqref="AG7:AH11">
    <cfRule type="expression" dxfId="744" priority="8" stopIfTrue="1">
      <formula>AG7=Code5</formula>
    </cfRule>
    <cfRule type="expression" dxfId="743" priority="9" stopIfTrue="1">
      <formula>AG7=Code4</formula>
    </cfRule>
    <cfRule type="expression" dxfId="742" priority="10" stopIfTrue="1">
      <formula>AG7=Code3</formula>
    </cfRule>
    <cfRule type="expression" dxfId="741" priority="11" stopIfTrue="1">
      <formula>AG7=Code1</formula>
    </cfRule>
  </conditionalFormatting>
  <conditionalFormatting sqref="D7:AF11">
    <cfRule type="expression" dxfId="740" priority="1" stopIfTrue="1">
      <formula>D7=Code2</formula>
    </cfRule>
  </conditionalFormatting>
  <conditionalFormatting sqref="D7:AF11">
    <cfRule type="expression" dxfId="739" priority="2" stopIfTrue="1">
      <formula>D7=Code5</formula>
    </cfRule>
    <cfRule type="expression" dxfId="738" priority="3" stopIfTrue="1">
      <formula>D7=Code4</formula>
    </cfRule>
    <cfRule type="expression" dxfId="737" priority="4" stopIfTrue="1">
      <formula>D7=Code3</formula>
    </cfRule>
    <cfRule type="expression" dxfId="736"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AN346"/>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40"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40" customFormat="1" ht="13"/>
    <row r="3" spans="1:40"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40" customFormat="1" ht="16.5" customHeight="1"/>
    <row r="5" spans="1:40" s="2" customFormat="1" ht="18" customHeight="1">
      <c r="B5" s="65">
        <f>DATE(CalendarYear,12,1)</f>
        <v>41244</v>
      </c>
      <c r="C5" s="64"/>
      <c r="D5" s="46" t="str">
        <f>TEXT(WEEKDAY(DATE(CalendarYear,12,1),1),"aaa")</f>
        <v>Sat</v>
      </c>
      <c r="E5" s="46" t="str">
        <f>TEXT(WEEKDAY(DATE(CalendarYear,12,2),1),"aaa")</f>
        <v>Sun</v>
      </c>
      <c r="F5" s="46" t="str">
        <f>TEXT(WEEKDAY(DATE(CalendarYear,12,3),1),"aaa")</f>
        <v>Mon</v>
      </c>
      <c r="G5" s="46" t="str">
        <f>TEXT(WEEKDAY(DATE(CalendarYear,12,4),1),"aaa")</f>
        <v>Tue</v>
      </c>
      <c r="H5" s="46" t="str">
        <f>TEXT(WEEKDAY(DATE(CalendarYear,12,5),1),"aaa")</f>
        <v>Wed</v>
      </c>
      <c r="I5" s="46" t="str">
        <f>TEXT(WEEKDAY(DATE(CalendarYear,12,6),1),"aaa")</f>
        <v>Thu</v>
      </c>
      <c r="J5" s="46" t="str">
        <f>TEXT(WEEKDAY(DATE(CalendarYear,12,7),1),"aaa")</f>
        <v>Fri</v>
      </c>
      <c r="K5" s="46" t="str">
        <f>TEXT(WEEKDAY(DATE(CalendarYear,12,8),1),"aaa")</f>
        <v>Sat</v>
      </c>
      <c r="L5" s="46" t="str">
        <f>TEXT(WEEKDAY(DATE(CalendarYear,12,9),1),"aaa")</f>
        <v>Sun</v>
      </c>
      <c r="M5" s="46" t="str">
        <f>TEXT(WEEKDAY(DATE(CalendarYear,12,10),1),"aaa")</f>
        <v>Mon</v>
      </c>
      <c r="N5" s="46" t="str">
        <f>TEXT(WEEKDAY(DATE(CalendarYear,12,11),1),"aaa")</f>
        <v>Tue</v>
      </c>
      <c r="O5" s="46" t="str">
        <f>TEXT(WEEKDAY(DATE(CalendarYear,12,12),1),"aaa")</f>
        <v>Wed</v>
      </c>
      <c r="P5" s="46" t="str">
        <f>TEXT(WEEKDAY(DATE(CalendarYear,12,13),1),"aaa")</f>
        <v>Thu</v>
      </c>
      <c r="Q5" s="46" t="str">
        <f>TEXT(WEEKDAY(DATE(CalendarYear,12,14),1),"aaa")</f>
        <v>Fri</v>
      </c>
      <c r="R5" s="46" t="str">
        <f>TEXT(WEEKDAY(DATE(CalendarYear,12,15),1),"aaa")</f>
        <v>Sat</v>
      </c>
      <c r="S5" s="46" t="str">
        <f>TEXT(WEEKDAY(DATE(CalendarYear,12,16),1),"aaa")</f>
        <v>Sun</v>
      </c>
      <c r="T5" s="46" t="str">
        <f>TEXT(WEEKDAY(DATE(CalendarYear,12,17),1),"aaa")</f>
        <v>Mon</v>
      </c>
      <c r="U5" s="46" t="str">
        <f>TEXT(WEEKDAY(DATE(CalendarYear,12,18),1),"aaa")</f>
        <v>Tue</v>
      </c>
      <c r="V5" s="46" t="str">
        <f>TEXT(WEEKDAY(DATE(CalendarYear,12,19),1),"aaa")</f>
        <v>Wed</v>
      </c>
      <c r="W5" s="46" t="str">
        <f>TEXT(WEEKDAY(DATE(CalendarYear,12,20),1),"aaa")</f>
        <v>Thu</v>
      </c>
      <c r="X5" s="46" t="str">
        <f>TEXT(WEEKDAY(DATE(CalendarYear,12,21),1),"aaa")</f>
        <v>Fri</v>
      </c>
      <c r="Y5" s="46" t="str">
        <f>TEXT(WEEKDAY(DATE(CalendarYear,12,22),1),"aaa")</f>
        <v>Sat</v>
      </c>
      <c r="Z5" s="46" t="str">
        <f>TEXT(WEEKDAY(DATE(CalendarYear,12,23),1),"aaa")</f>
        <v>Sun</v>
      </c>
      <c r="AA5" s="46" t="str">
        <f>TEXT(WEEKDAY(DATE(CalendarYear,12,24),1),"aaa")</f>
        <v>Mon</v>
      </c>
      <c r="AB5" s="46" t="str">
        <f>TEXT(WEEKDAY(DATE(CalendarYear,12,25),1),"aaa")</f>
        <v>Tue</v>
      </c>
      <c r="AC5" s="46" t="str">
        <f>TEXT(WEEKDAY(DATE(CalendarYear,12,26),1),"aaa")</f>
        <v>Wed</v>
      </c>
      <c r="AD5" s="46" t="str">
        <f>TEXT(WEEKDAY(DATE(CalendarYear,12,27),1),"aaa")</f>
        <v>Thu</v>
      </c>
      <c r="AE5" s="46" t="str">
        <f>TEXT(WEEKDAY(DATE(CalendarYear,12,28),1),"aaa")</f>
        <v>Fri</v>
      </c>
      <c r="AF5" s="46" t="str">
        <f>TEXT(WEEKDAY(DATE(CalendarYear,12,29),1),"aaa")</f>
        <v>Sat</v>
      </c>
      <c r="AG5" s="46" t="str">
        <f>TEXT(WEEKDAY(DATE(CalendarYear,12,30),1),"aaa")</f>
        <v>Sun</v>
      </c>
      <c r="AH5" s="46" t="str">
        <f>TEXT(WEEKDAY(DATE(CalendarYear,12,31),1),"aaa")</f>
        <v>Mon</v>
      </c>
      <c r="AI5" s="124" t="s">
        <v>41</v>
      </c>
      <c r="AJ5" s="125"/>
      <c r="AK5" s="125"/>
      <c r="AL5" s="125"/>
      <c r="AM5" s="126"/>
    </row>
    <row r="6" spans="1:40" s="6" customFormat="1" ht="14.25" customHeight="1">
      <c r="B6" s="49" t="s">
        <v>34</v>
      </c>
      <c r="C6" s="5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8" t="s">
        <v>37</v>
      </c>
      <c r="AJ6" s="73" t="s">
        <v>39</v>
      </c>
      <c r="AK6" s="74" t="s">
        <v>38</v>
      </c>
      <c r="AL6" s="75" t="s">
        <v>31</v>
      </c>
      <c r="AM6" s="54" t="s">
        <v>40</v>
      </c>
      <c r="AN6" s="5"/>
    </row>
    <row r="7" spans="1:40" s="6" customFormat="1" ht="16.5" customHeight="1">
      <c r="B7" s="51"/>
      <c r="C7" s="52" t="str">
        <f>IFERROR(VLOOKUP(DecemberAttendance[[#This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5"/>
      <c r="AH7" s="25"/>
      <c r="AI7" s="7">
        <f>COUNTIF(DecemberAttendance[[#This Row],[1]:[31]],Code1)</f>
        <v>0</v>
      </c>
      <c r="AJ7" s="53">
        <f>COUNTIF(DecemberAttendance[[#This Row],[1]:[31]],Code2)</f>
        <v>0</v>
      </c>
      <c r="AK7" s="53">
        <f>COUNTIF(DecemberAttendance[[#This Row],[1]:[31]],Code3)</f>
        <v>0</v>
      </c>
      <c r="AL7" s="53">
        <f>COUNTIF(DecemberAttendance[[#This Row],[1]:[31]],Code4)</f>
        <v>0</v>
      </c>
      <c r="AM7" s="7">
        <f>SUM(DecemberAttendance[[#This Row],[E]:[U]])</f>
        <v>0</v>
      </c>
      <c r="AN7" s="5"/>
    </row>
    <row r="8" spans="1:40" s="6" customFormat="1" ht="16.5" customHeight="1">
      <c r="B8" s="51"/>
      <c r="C8" s="22" t="str">
        <f>IFERROR(VLOOKUP(DecemberAttendance[[#This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25"/>
      <c r="AH8" s="25"/>
      <c r="AI8" s="7">
        <f>COUNTIF(DecemberAttendance[[#This Row],[1]:[31]],Code1)</f>
        <v>0</v>
      </c>
      <c r="AJ8" s="53">
        <f>COUNTIF(DecemberAttendance[[#This Row],[1]:[31]],Code2)</f>
        <v>0</v>
      </c>
      <c r="AK8" s="53">
        <f>COUNTIF(DecemberAttendance[[#This Row],[1]:[31]],Code3)</f>
        <v>0</v>
      </c>
      <c r="AL8" s="53">
        <f>COUNTIF(DecemberAttendance[[#This Row],[1]:[31]],Code4)</f>
        <v>0</v>
      </c>
      <c r="AM8" s="7">
        <f>SUM(DecemberAttendance[[#This Row],[E]:[U]])</f>
        <v>0</v>
      </c>
      <c r="AN8" s="5"/>
    </row>
    <row r="9" spans="1:40" s="9" customFormat="1" ht="16.5" customHeight="1">
      <c r="B9" s="51"/>
      <c r="C9" s="22" t="str">
        <f>IFERROR(VLOOKUP(DecemberAttendance[[#This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25"/>
      <c r="AH9" s="25"/>
      <c r="AI9" s="7">
        <f>COUNTIF(DecemberAttendance[[#This Row],[1]:[31]],Code1)</f>
        <v>0</v>
      </c>
      <c r="AJ9" s="53">
        <f>COUNTIF(DecemberAttendance[[#This Row],[1]:[31]],Code2)</f>
        <v>0</v>
      </c>
      <c r="AK9" s="53">
        <f>COUNTIF(DecemberAttendance[[#This Row],[1]:[31]],Code3)</f>
        <v>0</v>
      </c>
      <c r="AL9" s="53">
        <f>COUNTIF(DecemberAttendance[[#This Row],[1]:[31]],Code4)</f>
        <v>0</v>
      </c>
      <c r="AM9" s="7">
        <f>SUM(DecemberAttendance[[#This Row],[E]:[U]])</f>
        <v>0</v>
      </c>
      <c r="AN9" s="8"/>
    </row>
    <row r="10" spans="1:40" ht="16.5" customHeight="1">
      <c r="B10" s="51"/>
      <c r="C10" s="22" t="str">
        <f>IFERROR(VLOOKUP(DecemberAttendance[[#This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25"/>
      <c r="AH10" s="25"/>
      <c r="AI10" s="7">
        <f>COUNTIF(DecemberAttendance[[#This Row],[1]:[31]],Code1)</f>
        <v>0</v>
      </c>
      <c r="AJ10" s="53">
        <f>COUNTIF(DecemberAttendance[[#This Row],[1]:[31]],Code2)</f>
        <v>0</v>
      </c>
      <c r="AK10" s="53">
        <f>COUNTIF(DecemberAttendance[[#This Row],[1]:[31]],Code3)</f>
        <v>0</v>
      </c>
      <c r="AL10" s="53">
        <f>COUNTIF(DecemberAttendance[[#This Row],[1]:[31]],Code4)</f>
        <v>0</v>
      </c>
      <c r="AM10" s="7">
        <f>SUM(DecemberAttendance[[#This Row],[E]:[U]])</f>
        <v>0</v>
      </c>
      <c r="AN10" s="11"/>
    </row>
    <row r="11" spans="1:40" ht="16.5" customHeight="1">
      <c r="B11" s="51"/>
      <c r="C11" s="22" t="str">
        <f>IFERROR(VLOOKUP(DecemberAttendance[[#This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25"/>
      <c r="AH11" s="25"/>
      <c r="AI11" s="7">
        <f>COUNTIF(DecemberAttendance[[#This Row],[1]:[31]],Code1)</f>
        <v>0</v>
      </c>
      <c r="AJ11" s="53">
        <f>COUNTIF(DecemberAttendance[[#This Row],[1]:[31]],Code2)</f>
        <v>0</v>
      </c>
      <c r="AK11" s="53">
        <f>COUNTIF(DecemberAttendance[[#This Row],[1]:[31]],Code3)</f>
        <v>0</v>
      </c>
      <c r="AL11" s="53">
        <f>COUNTIF(DecemberAttendance[[#This Row],[1]:[31]],Code4)</f>
        <v>0</v>
      </c>
      <c r="AM11" s="7">
        <f>SUM(DecemberAttendance[[#This Row],[E]:[U]])</f>
        <v>0</v>
      </c>
      <c r="AN11" s="11"/>
    </row>
    <row r="12" spans="1:40" ht="16.5" customHeight="1">
      <c r="B12" s="3"/>
      <c r="C12" s="4" t="s">
        <v>120</v>
      </c>
      <c r="D12" s="7">
        <f>COUNTIF(DecemberAttendance[1],"U")+COUNTIF(DecemberAttendance[1],"E")</f>
        <v>0</v>
      </c>
      <c r="E12" s="7">
        <f>COUNTIF(DecemberAttendance[2],"U")+COUNTIF(DecemberAttendance[2],"E")</f>
        <v>0</v>
      </c>
      <c r="F12" s="7">
        <f>COUNTIF(DecemberAttendance[3],"U")+COUNTIF(DecemberAttendance[3],"E")</f>
        <v>0</v>
      </c>
      <c r="G12" s="7">
        <f>COUNTIF(DecemberAttendance[4],"U")+COUNTIF(DecemberAttendance[4],"E")</f>
        <v>0</v>
      </c>
      <c r="H12" s="7">
        <f>COUNTIF(DecemberAttendance[5],"U")+COUNTIF(DecemberAttendance[5],"E")</f>
        <v>0</v>
      </c>
      <c r="I12" s="7">
        <f>COUNTIF(DecemberAttendance[6],"U")+COUNTIF(DecemberAttendance[6],"E")</f>
        <v>0</v>
      </c>
      <c r="J12" s="7">
        <f>COUNTIF(DecemberAttendance[7],"U")+COUNTIF(DecemberAttendance[7],"E")</f>
        <v>0</v>
      </c>
      <c r="K12" s="7">
        <f>COUNTIF(DecemberAttendance[8],"U")+COUNTIF(DecemberAttendance[8],"E")</f>
        <v>0</v>
      </c>
      <c r="L12" s="7">
        <f>COUNTIF(DecemberAttendance[9],"U")+COUNTIF(DecemberAttendance[9],"E")</f>
        <v>0</v>
      </c>
      <c r="M12" s="7">
        <f>COUNTIF(DecemberAttendance[10],"U")+COUNTIF(DecemberAttendance[10],"E")</f>
        <v>0</v>
      </c>
      <c r="N12" s="7">
        <f>COUNTIF(DecemberAttendance[11],"U")+COUNTIF(DecemberAttendance[11],"E")</f>
        <v>0</v>
      </c>
      <c r="O12" s="7">
        <f>COUNTIF(DecemberAttendance[12],"U")+COUNTIF(DecemberAttendance[12],"E")</f>
        <v>0</v>
      </c>
      <c r="P12" s="7">
        <f>COUNTIF(DecemberAttendance[13],"U")+COUNTIF(DecemberAttendance[13],"E")</f>
        <v>0</v>
      </c>
      <c r="Q12" s="7">
        <f>COUNTIF(DecemberAttendance[14],"U")+COUNTIF(DecemberAttendance[14],"E")</f>
        <v>0</v>
      </c>
      <c r="R12" s="7">
        <f>COUNTIF(DecemberAttendance[15],"U")+COUNTIF(DecemberAttendance[15],"E")</f>
        <v>0</v>
      </c>
      <c r="S12" s="7">
        <f>COUNTIF(DecemberAttendance[16],"U")+COUNTIF(DecemberAttendance[16],"E")</f>
        <v>0</v>
      </c>
      <c r="T12" s="7">
        <f>COUNTIF(DecemberAttendance[17],"U")+COUNTIF(DecemberAttendance[17],"E")</f>
        <v>0</v>
      </c>
      <c r="U12" s="7">
        <f>COUNTIF(DecemberAttendance[18],"U")+COUNTIF(DecemberAttendance[18],"E")</f>
        <v>0</v>
      </c>
      <c r="V12" s="7">
        <f>COUNTIF(DecemberAttendance[19],"U")+COUNTIF(DecemberAttendance[19],"E")</f>
        <v>0</v>
      </c>
      <c r="W12" s="7">
        <f>COUNTIF(DecemberAttendance[20],"U")+COUNTIF(DecemberAttendance[20],"E")</f>
        <v>0</v>
      </c>
      <c r="X12" s="7">
        <f>COUNTIF(DecemberAttendance[21],"U")+COUNTIF(DecemberAttendance[21],"E")</f>
        <v>0</v>
      </c>
      <c r="Y12" s="7">
        <f>COUNTIF(DecemberAttendance[22],"U")+COUNTIF(DecemberAttendance[22],"E")</f>
        <v>0</v>
      </c>
      <c r="Z12" s="7">
        <f>COUNTIF(DecemberAttendance[23],"U")+COUNTIF(DecemberAttendance[23],"E")</f>
        <v>0</v>
      </c>
      <c r="AA12" s="7">
        <f>COUNTIF(DecemberAttendance[24],"U")+COUNTIF(DecemberAttendance[24],"E")</f>
        <v>0</v>
      </c>
      <c r="AB12" s="7">
        <f>COUNTIF(DecemberAttendance[25],"U")+COUNTIF(DecemberAttendance[25],"E")</f>
        <v>0</v>
      </c>
      <c r="AC12" s="7">
        <f>COUNTIF(DecemberAttendance[26],"U")+COUNTIF(DecemberAttendance[26],"E")</f>
        <v>0</v>
      </c>
      <c r="AD12" s="7">
        <f>COUNTIF(DecemberAttendance[27],"U")+COUNTIF(DecemberAttendance[27],"E")</f>
        <v>0</v>
      </c>
      <c r="AE12" s="7">
        <f>COUNTIF(DecemberAttendance[28],"U")+COUNTIF(DecemberAttendance[28],"E")</f>
        <v>0</v>
      </c>
      <c r="AF12" s="7">
        <f>COUNTIF(DecemberAttendance[29],"U")+COUNTIF(DecemberAttendance[29],"E")</f>
        <v>0</v>
      </c>
      <c r="AG12" s="7">
        <f>COUNTIF(DecemberAttendance[30],"U")+COUNTIF(DecemberAttendance[30],"E")</f>
        <v>0</v>
      </c>
      <c r="AH12" s="7">
        <f>COUNTIF(DecemberAttendance[31],"U")+COUNTIF(DecemberAttendance[31],"E")</f>
        <v>0</v>
      </c>
      <c r="AI12" s="7">
        <f>SUBTOTAL(109,DecemberAttendance[T])</f>
        <v>0</v>
      </c>
      <c r="AJ12" s="7">
        <f>SUBTOTAL(109,DecemberAttendance[E])</f>
        <v>0</v>
      </c>
      <c r="AK12" s="7">
        <f>SUBTOTAL(109,DecemberAttendance[U])</f>
        <v>0</v>
      </c>
      <c r="AL12" s="7">
        <f>SUBTOTAL(109,DecemberAttendance[P])</f>
        <v>0</v>
      </c>
      <c r="AM12" s="7">
        <f>SUBTOTAL(109,DecemberAttendance[Days Absent])</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663" priority="7" stopIfTrue="1">
      <formula>AG7=Code2</formula>
    </cfRule>
  </conditionalFormatting>
  <conditionalFormatting sqref="AG7:AH11">
    <cfRule type="expression" dxfId="662" priority="8" stopIfTrue="1">
      <formula>AG7=Code5</formula>
    </cfRule>
    <cfRule type="expression" dxfId="661" priority="9" stopIfTrue="1">
      <formula>AG7=Code4</formula>
    </cfRule>
    <cfRule type="expression" dxfId="660" priority="10" stopIfTrue="1">
      <formula>AG7=Code3</formula>
    </cfRule>
    <cfRule type="expression" dxfId="659" priority="11" stopIfTrue="1">
      <formula>AG7=Code1</formula>
    </cfRule>
  </conditionalFormatting>
  <conditionalFormatting sqref="D7:AF11">
    <cfRule type="expression" dxfId="658" priority="1" stopIfTrue="1">
      <formula>D7=Code2</formula>
    </cfRule>
  </conditionalFormatting>
  <conditionalFormatting sqref="D7:AF11">
    <cfRule type="expression" dxfId="657" priority="2" stopIfTrue="1">
      <formula>D7=Code5</formula>
    </cfRule>
    <cfRule type="expression" dxfId="656" priority="3" stopIfTrue="1">
      <formula>D7=Code4</formula>
    </cfRule>
    <cfRule type="expression" dxfId="655" priority="4" stopIfTrue="1">
      <formula>D7=Code3</formula>
    </cfRule>
    <cfRule type="expression" dxfId="654"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pageSetUpPr fitToPage="1"/>
  </sheetPr>
  <dimension ref="A1:AM264"/>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DATE(CalendarYear+1,1,1)</f>
        <v>41275</v>
      </c>
      <c r="C5" s="64"/>
      <c r="D5" s="46" t="str">
        <f>TEXT(WEEKDAY(DATE(CalendarYear+1,1,1),1),"aaa")</f>
        <v>Tue</v>
      </c>
      <c r="E5" s="46" t="str">
        <f>TEXT(WEEKDAY(DATE(CalendarYear+1,1,2),1),"aaa")</f>
        <v>Wed</v>
      </c>
      <c r="F5" s="46" t="str">
        <f>TEXT(WEEKDAY(DATE(CalendarYear+1,1,3),1),"aaa")</f>
        <v>Thu</v>
      </c>
      <c r="G5" s="46" t="str">
        <f>TEXT(WEEKDAY(DATE(CalendarYear+1,1,4),1),"aaa")</f>
        <v>Fri</v>
      </c>
      <c r="H5" s="46" t="str">
        <f>TEXT(WEEKDAY(DATE(CalendarYear+1,1,5),1),"aaa")</f>
        <v>Sat</v>
      </c>
      <c r="I5" s="46" t="str">
        <f>TEXT(WEEKDAY(DATE(CalendarYear+1,1,6),1),"aaa")</f>
        <v>Sun</v>
      </c>
      <c r="J5" s="46" t="str">
        <f>TEXT(WEEKDAY(DATE(CalendarYear+1,1,7),1),"aaa")</f>
        <v>Mon</v>
      </c>
      <c r="K5" s="46" t="str">
        <f>TEXT(WEEKDAY(DATE(CalendarYear+1,1,8),1),"aaa")</f>
        <v>Tue</v>
      </c>
      <c r="L5" s="46" t="str">
        <f>TEXT(WEEKDAY(DATE(CalendarYear+1,1,9),1),"aaa")</f>
        <v>Wed</v>
      </c>
      <c r="M5" s="46" t="str">
        <f>TEXT(WEEKDAY(DATE(CalendarYear+1,1,10),1),"aaa")</f>
        <v>Thu</v>
      </c>
      <c r="N5" s="46" t="str">
        <f>TEXT(WEEKDAY(DATE(CalendarYear+1,1,11),1),"aaa")</f>
        <v>Fri</v>
      </c>
      <c r="O5" s="46" t="str">
        <f>TEXT(WEEKDAY(DATE(CalendarYear+1,1,12),1),"aaa")</f>
        <v>Sat</v>
      </c>
      <c r="P5" s="46" t="str">
        <f>TEXT(WEEKDAY(DATE(CalendarYear+1,1,13),1),"aaa")</f>
        <v>Sun</v>
      </c>
      <c r="Q5" s="46" t="str">
        <f>TEXT(WEEKDAY(DATE(CalendarYear+1,1,14),1),"aaa")</f>
        <v>Mon</v>
      </c>
      <c r="R5" s="46" t="str">
        <f>TEXT(WEEKDAY(DATE(CalendarYear+1,1,15),1),"aaa")</f>
        <v>Tue</v>
      </c>
      <c r="S5" s="46" t="str">
        <f>TEXT(WEEKDAY(DATE(CalendarYear+1,1,16),1),"aaa")</f>
        <v>Wed</v>
      </c>
      <c r="T5" s="46" t="str">
        <f>TEXT(WEEKDAY(DATE(CalendarYear+1,1,17),1),"aaa")</f>
        <v>Thu</v>
      </c>
      <c r="U5" s="46" t="str">
        <f>TEXT(WEEKDAY(DATE(CalendarYear+1,1,18),1),"aaa")</f>
        <v>Fri</v>
      </c>
      <c r="V5" s="46" t="str">
        <f>TEXT(WEEKDAY(DATE(CalendarYear+1,1,19),1),"aaa")</f>
        <v>Sat</v>
      </c>
      <c r="W5" s="46" t="str">
        <f>TEXT(WEEKDAY(DATE(CalendarYear+1,1,20),1),"aaa")</f>
        <v>Sun</v>
      </c>
      <c r="X5" s="46" t="str">
        <f>TEXT(WEEKDAY(DATE(CalendarYear+1,1,21),1),"aaa")</f>
        <v>Mon</v>
      </c>
      <c r="Y5" s="46" t="str">
        <f>TEXT(WEEKDAY(DATE(CalendarYear+1,1,22),1),"aaa")</f>
        <v>Tue</v>
      </c>
      <c r="Z5" s="46" t="str">
        <f>TEXT(WEEKDAY(DATE(CalendarYear+1,1,23),1),"aaa")</f>
        <v>Wed</v>
      </c>
      <c r="AA5" s="46" t="str">
        <f>TEXT(WEEKDAY(DATE(CalendarYear+1,1,24),1),"aaa")</f>
        <v>Thu</v>
      </c>
      <c r="AB5" s="46" t="str">
        <f>TEXT(WEEKDAY(DATE(CalendarYear+1,1,25),1),"aaa")</f>
        <v>Fri</v>
      </c>
      <c r="AC5" s="46" t="str">
        <f>TEXT(WEEKDAY(DATE(CalendarYear+1,1,26),1),"aaa")</f>
        <v>Sat</v>
      </c>
      <c r="AD5" s="46" t="str">
        <f>TEXT(WEEKDAY(DATE(CalendarYear+1,1,27),1),"aaa")</f>
        <v>Sun</v>
      </c>
      <c r="AE5" s="46" t="str">
        <f>TEXT(WEEKDAY(DATE(CalendarYear+1,1,28),1),"aaa")</f>
        <v>Mon</v>
      </c>
      <c r="AF5" s="46" t="str">
        <f>TEXT(WEEKDAY(DATE(CalendarYear+1,1,29),1),"aaa")</f>
        <v>Tue</v>
      </c>
      <c r="AG5" s="46" t="str">
        <f>TEXT(WEEKDAY(DATE(CalendarYear+1,1,30),1),"aaa")</f>
        <v>Wed</v>
      </c>
      <c r="AH5" s="46" t="str">
        <f>TEXT(WEEKDAY(DATE(CalendarYear+1,1,31),1),"aaa")</f>
        <v>Thu</v>
      </c>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30</v>
      </c>
      <c r="AI6" s="76" t="s">
        <v>37</v>
      </c>
      <c r="AJ6" s="40" t="s">
        <v>39</v>
      </c>
      <c r="AK6" s="39" t="s">
        <v>38</v>
      </c>
      <c r="AL6" s="37" t="s">
        <v>31</v>
      </c>
      <c r="AM6" t="s">
        <v>40</v>
      </c>
    </row>
    <row r="7" spans="1:39" ht="16.5" customHeight="1">
      <c r="B7" s="28"/>
      <c r="C7" s="23" t="str">
        <f>IFERROR(VLOOKUP(JanuaryAttendance[[#This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COUNTIF(JanuaryAttendance[[#This Row],[1]:[31]],Code1)</f>
        <v>0</v>
      </c>
      <c r="AJ7" s="38">
        <f>COUNTIF(JanuaryAttendance[[#This Row],[1]:[31]],Code2)</f>
        <v>0</v>
      </c>
      <c r="AK7" s="38">
        <f>COUNTIF(JanuaryAttendance[[#This Row],[1]:[31]],Code3)</f>
        <v>0</v>
      </c>
      <c r="AL7" s="38">
        <f>COUNTIF(JanuaryAttendance[[#This Row],[1]:[31]],Code4)</f>
        <v>0</v>
      </c>
      <c r="AM7" s="7">
        <f>SUM(JanuaryAttendance[[#This Row],[E]:[U]])</f>
        <v>0</v>
      </c>
    </row>
    <row r="8" spans="1:39" ht="16.5" customHeight="1">
      <c r="B8" s="28"/>
      <c r="C8" s="24" t="str">
        <f>IFERROR(VLOOKUP(JanuaryAttendance[[#This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COUNTIF(JanuaryAttendance[[#This Row],[1]:[31]],Code1)</f>
        <v>0</v>
      </c>
      <c r="AJ8" s="38">
        <f>COUNTIF(JanuaryAttendance[[#This Row],[1]:[31]],Code2)</f>
        <v>0</v>
      </c>
      <c r="AK8" s="38">
        <f>COUNTIF(JanuaryAttendance[[#This Row],[1]:[31]],Code3)</f>
        <v>0</v>
      </c>
      <c r="AL8" s="38">
        <f>COUNTIF(JanuaryAttendance[[#This Row],[1]:[31]],Code4)</f>
        <v>0</v>
      </c>
      <c r="AM8" s="7">
        <f>SUM(JanuaryAttendance[[#This Row],[E]:[U]])</f>
        <v>0</v>
      </c>
    </row>
    <row r="9" spans="1:39" ht="16.5" customHeight="1">
      <c r="B9" s="28"/>
      <c r="C9" s="24" t="str">
        <f>IFERROR(VLOOKUP(JanuaryAttendance[[#This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COUNTIF(JanuaryAttendance[[#This Row],[1]:[31]],Code1)</f>
        <v>0</v>
      </c>
      <c r="AJ9" s="38">
        <f>COUNTIF(JanuaryAttendance[[#This Row],[1]:[31]],Code2)</f>
        <v>0</v>
      </c>
      <c r="AK9" s="38">
        <f>COUNTIF(JanuaryAttendance[[#This Row],[1]:[31]],Code3)</f>
        <v>0</v>
      </c>
      <c r="AL9" s="38">
        <f>COUNTIF(JanuaryAttendance[[#This Row],[1]:[31]],Code4)</f>
        <v>0</v>
      </c>
      <c r="AM9" s="7">
        <f>SUM(JanuaryAttendance[[#This Row],[E]:[U]])</f>
        <v>0</v>
      </c>
    </row>
    <row r="10" spans="1:39" ht="16.5" customHeight="1">
      <c r="B10" s="28"/>
      <c r="C10" s="24" t="str">
        <f>IFERROR(VLOOKUP(JanuaryAttendance[[#This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COUNTIF(JanuaryAttendance[[#This Row],[1]:[31]],Code1)</f>
        <v>0</v>
      </c>
      <c r="AJ10" s="38">
        <f>COUNTIF(JanuaryAttendance[[#This Row],[1]:[31]],Code2)</f>
        <v>0</v>
      </c>
      <c r="AK10" s="38">
        <f>COUNTIF(JanuaryAttendance[[#This Row],[1]:[31]],Code3)</f>
        <v>0</v>
      </c>
      <c r="AL10" s="38">
        <f>COUNTIF(JanuaryAttendance[[#This Row],[1]:[31]],Code4)</f>
        <v>0</v>
      </c>
      <c r="AM10" s="7">
        <f>SUM(JanuaryAttendance[[#This Row],[E]:[U]])</f>
        <v>0</v>
      </c>
    </row>
    <row r="11" spans="1:39" ht="16.5" customHeight="1">
      <c r="B11" s="28"/>
      <c r="C11" s="24" t="str">
        <f>IFERROR(VLOOKUP(JanuaryAttendance[[#This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COUNTIF(JanuaryAttendance[[#This Row],[1]:[31]],Code1)</f>
        <v>0</v>
      </c>
      <c r="AJ11" s="38">
        <f>COUNTIF(JanuaryAttendance[[#This Row],[1]:[31]],Code2)</f>
        <v>0</v>
      </c>
      <c r="AK11" s="38">
        <f>COUNTIF(JanuaryAttendance[[#This Row],[1]:[31]],Code3)</f>
        <v>0</v>
      </c>
      <c r="AL11" s="38">
        <f>COUNTIF(JanuaryAttendance[[#This Row],[1]:[31]],Code4)</f>
        <v>0</v>
      </c>
      <c r="AM11" s="7">
        <f>SUM(JanuaryAttendance[[#This Row],[E]:[U]])</f>
        <v>0</v>
      </c>
    </row>
    <row r="12" spans="1:39" ht="16.5" customHeight="1">
      <c r="B12" s="3"/>
      <c r="C12" s="4" t="s">
        <v>120</v>
      </c>
      <c r="D12" s="7">
        <f>COUNTIF(JanuaryAttendance[1],"U")+COUNTIF(JanuaryAttendance[1],"E")</f>
        <v>0</v>
      </c>
      <c r="E12" s="7">
        <f>COUNTIF(JanuaryAttendance[2],"U")+COUNTIF(JanuaryAttendance[2],"E")</f>
        <v>0</v>
      </c>
      <c r="F12" s="7">
        <f>COUNTIF(JanuaryAttendance[3],"U")+COUNTIF(JanuaryAttendance[3],"E")</f>
        <v>0</v>
      </c>
      <c r="G12" s="7">
        <f>COUNTIF(JanuaryAttendance[4],"U")+COUNTIF(JanuaryAttendance[4],"E")</f>
        <v>0</v>
      </c>
      <c r="H12" s="7">
        <f>COUNTIF(JanuaryAttendance[5],"U")+COUNTIF(JanuaryAttendance[5],"E")</f>
        <v>0</v>
      </c>
      <c r="I12" s="7">
        <f>COUNTIF(JanuaryAttendance[6],"U")+COUNTIF(JanuaryAttendance[6],"E")</f>
        <v>0</v>
      </c>
      <c r="J12" s="7">
        <f>COUNTIF(JanuaryAttendance[7],"U")+COUNTIF(JanuaryAttendance[7],"E")</f>
        <v>0</v>
      </c>
      <c r="K12" s="7">
        <f>COUNTIF(JanuaryAttendance[8],"U")+COUNTIF(JanuaryAttendance[8],"E")</f>
        <v>0</v>
      </c>
      <c r="L12" s="7">
        <f>COUNTIF(JanuaryAttendance[9],"U")+COUNTIF(JanuaryAttendance[9],"E")</f>
        <v>0</v>
      </c>
      <c r="M12" s="7">
        <f>COUNTIF(JanuaryAttendance[10],"U")+COUNTIF(JanuaryAttendance[10],"E")</f>
        <v>0</v>
      </c>
      <c r="N12" s="7">
        <f>COUNTIF(JanuaryAttendance[11],"U")+COUNTIF(JanuaryAttendance[11],"E")</f>
        <v>0</v>
      </c>
      <c r="O12" s="7">
        <f>COUNTIF(JanuaryAttendance[12],"U")+COUNTIF(JanuaryAttendance[12],"E")</f>
        <v>0</v>
      </c>
      <c r="P12" s="7">
        <f>COUNTIF(JanuaryAttendance[13],"U")+COUNTIF(JanuaryAttendance[13],"E")</f>
        <v>0</v>
      </c>
      <c r="Q12" s="7">
        <f>COUNTIF(JanuaryAttendance[14],"U")+COUNTIF(JanuaryAttendance[14],"E")</f>
        <v>0</v>
      </c>
      <c r="R12" s="7">
        <f>COUNTIF(JanuaryAttendance[15],"U")+COUNTIF(JanuaryAttendance[15],"E")</f>
        <v>0</v>
      </c>
      <c r="S12" s="7">
        <f>COUNTIF(JanuaryAttendance[16],"U")+COUNTIF(JanuaryAttendance[16],"E")</f>
        <v>0</v>
      </c>
      <c r="T12" s="7">
        <f>COUNTIF(JanuaryAttendance[17],"U")+COUNTIF(JanuaryAttendance[17],"E")</f>
        <v>0</v>
      </c>
      <c r="U12" s="7">
        <f>COUNTIF(JanuaryAttendance[18],"U")+COUNTIF(JanuaryAttendance[18],"E")</f>
        <v>0</v>
      </c>
      <c r="V12" s="7">
        <f>COUNTIF(JanuaryAttendance[19],"U")+COUNTIF(JanuaryAttendance[19],"E")</f>
        <v>0</v>
      </c>
      <c r="W12" s="7">
        <f>COUNTIF(JanuaryAttendance[20],"U")+COUNTIF(JanuaryAttendance[20],"E")</f>
        <v>0</v>
      </c>
      <c r="X12" s="7">
        <f>COUNTIF(JanuaryAttendance[21],"U")+COUNTIF(JanuaryAttendance[21],"E")</f>
        <v>0</v>
      </c>
      <c r="Y12" s="7">
        <f>COUNTIF(JanuaryAttendance[22],"U")+COUNTIF(JanuaryAttendance[22],"E")</f>
        <v>0</v>
      </c>
      <c r="Z12" s="7">
        <f>COUNTIF(JanuaryAttendance[23],"U")+COUNTIF(JanuaryAttendance[23],"E")</f>
        <v>0</v>
      </c>
      <c r="AA12" s="7">
        <f>COUNTIF(JanuaryAttendance[24],"U")+COUNTIF(JanuaryAttendance[24],"E")</f>
        <v>0</v>
      </c>
      <c r="AB12" s="7">
        <f>COUNTIF(JanuaryAttendance[25],"U")+COUNTIF(JanuaryAttendance[25],"E")</f>
        <v>0</v>
      </c>
      <c r="AC12" s="7">
        <f>COUNTIF(JanuaryAttendance[26],"U")+COUNTIF(JanuaryAttendance[26],"E")</f>
        <v>0</v>
      </c>
      <c r="AD12" s="7">
        <f>COUNTIF(JanuaryAttendance[27],"U")+COUNTIF(JanuaryAttendance[27],"E")</f>
        <v>0</v>
      </c>
      <c r="AE12" s="7">
        <f>COUNTIF(JanuaryAttendance[28],"U")+COUNTIF(JanuaryAttendance[28],"E")</f>
        <v>0</v>
      </c>
      <c r="AF12" s="7">
        <f>COUNTIF(JanuaryAttendance[29],"U")+COUNTIF(JanuaryAttendance[29],"E")</f>
        <v>0</v>
      </c>
      <c r="AG12" s="7"/>
      <c r="AH12" s="7"/>
      <c r="AI12" s="7">
        <f>SUBTOTAL(109,JanuaryAttendance[T])</f>
        <v>0</v>
      </c>
      <c r="AJ12" s="7">
        <f>SUBTOTAL(109,JanuaryAttendance[E])</f>
        <v>0</v>
      </c>
      <c r="AK12" s="7">
        <f>SUBTOTAL(109,JanuaryAttendance[U])</f>
        <v>0</v>
      </c>
      <c r="AL12" s="7">
        <f>SUBTOTAL(109,JanuaryAttendance[P])</f>
        <v>0</v>
      </c>
      <c r="AM12" s="7">
        <f>SUBTOTAL(109,JanuaryAttendance[Days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CalendarYear,2,1),DATE(CalendarYear,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581" priority="4" stopIfTrue="1">
      <formula>D7=Code2</formula>
    </cfRule>
  </conditionalFormatting>
  <conditionalFormatting sqref="D7:AF11">
    <cfRule type="expression" dxfId="580" priority="5" stopIfTrue="1">
      <formula>D7=Code5</formula>
    </cfRule>
    <cfRule type="expression" dxfId="579" priority="6" stopIfTrue="1">
      <formula>D7=Code4</formula>
    </cfRule>
    <cfRule type="expression" dxfId="578" priority="7" stopIfTrue="1">
      <formula>D7=Code3</formula>
    </cfRule>
    <cfRule type="expression" dxfId="577" priority="8"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pageSetUpPr fitToPage="1"/>
  </sheetPr>
  <dimension ref="A1:AM262"/>
  <sheetViews>
    <sheetView showGridLines="0" workbookViewId="0">
      <pane xSplit="3" ySplit="6" topLeftCell="D7" activePane="bottomRight" state="frozen"/>
      <selection pane="topRight"/>
      <selection pane="bottomLeft"/>
      <selection pane="bottomRight"/>
    </sheetView>
  </sheetViews>
  <sheetFormatPr baseColWidth="10" defaultColWidth="8.83203125" defaultRowHeight="15" customHeight="1" x14ac:dyDescent="0"/>
  <cols>
    <col min="1" max="1" width="2.6640625" style="12" customWidth="1"/>
    <col min="2" max="2" width="10.83203125" style="12" customWidth="1"/>
    <col min="3" max="3" width="28.83203125" style="13" customWidth="1"/>
    <col min="4" max="34" width="5" style="11" customWidth="1"/>
    <col min="35" max="35" width="4.6640625" style="10" customWidth="1"/>
    <col min="36" max="36" width="4.6640625" style="11" customWidth="1"/>
    <col min="37" max="38" width="4.6640625" style="12" customWidth="1"/>
    <col min="39" max="39" width="12.6640625" style="12" customWidth="1"/>
    <col min="40" max="16384" width="8.83203125" style="12"/>
  </cols>
  <sheetData>
    <row r="1" spans="1:39" s="1" customFormat="1" ht="42" customHeight="1">
      <c r="A1" s="41" t="s">
        <v>89</v>
      </c>
      <c r="B1" s="42"/>
      <c r="C1" s="42"/>
      <c r="D1" s="43"/>
      <c r="E1" s="43"/>
      <c r="F1" s="43"/>
      <c r="G1" s="43"/>
      <c r="H1" s="43"/>
      <c r="I1" s="43"/>
      <c r="J1" s="43"/>
      <c r="K1" s="43"/>
      <c r="L1" s="43"/>
      <c r="M1" s="43"/>
      <c r="N1" s="43"/>
      <c r="O1" s="43"/>
      <c r="P1" s="43"/>
      <c r="Q1" s="43"/>
      <c r="R1" s="43"/>
      <c r="S1" s="43"/>
      <c r="T1" s="43"/>
      <c r="U1" s="43"/>
      <c r="V1" s="43"/>
      <c r="W1" s="43"/>
      <c r="X1" s="43"/>
      <c r="Y1" s="43"/>
      <c r="Z1" s="43"/>
      <c r="AA1" s="43"/>
      <c r="AB1" s="43"/>
      <c r="AC1" s="42"/>
      <c r="AD1" s="42"/>
      <c r="AE1" s="42"/>
      <c r="AF1" s="42"/>
      <c r="AG1" s="44"/>
      <c r="AH1" s="42"/>
      <c r="AI1" s="42"/>
      <c r="AJ1" s="45"/>
      <c r="AK1" s="42"/>
      <c r="AL1" s="61" t="s">
        <v>72</v>
      </c>
      <c r="AM1" s="62">
        <f>CalendarYear</f>
        <v>2012</v>
      </c>
    </row>
    <row r="2" spans="1:39" customFormat="1" ht="13"/>
    <row r="3" spans="1:39" s="33" customFormat="1" ht="12.75" customHeight="1">
      <c r="C3" s="48" t="str">
        <f>ColorKeyText</f>
        <v xml:space="preserve">COLOR KEY </v>
      </c>
      <c r="D3" s="55" t="str">
        <f>Code1</f>
        <v>T</v>
      </c>
      <c r="E3" s="72" t="str">
        <f>Code1Text</f>
        <v>Tardy</v>
      </c>
      <c r="F3" s="63"/>
      <c r="H3" s="56" t="str">
        <f>Code2</f>
        <v>E</v>
      </c>
      <c r="I3" s="60" t="str">
        <f>Code2Text</f>
        <v>Excused</v>
      </c>
      <c r="L3" s="57" t="str">
        <f>Code3</f>
        <v>U</v>
      </c>
      <c r="M3" s="60" t="str">
        <f>Code3Text</f>
        <v>Unexcused</v>
      </c>
      <c r="P3" s="58" t="str">
        <f>Code4</f>
        <v>P</v>
      </c>
      <c r="Q3" s="60" t="str">
        <f>Code4Text</f>
        <v>Present</v>
      </c>
      <c r="T3" s="59" t="str">
        <f>Code5</f>
        <v>N</v>
      </c>
      <c r="U3" s="60" t="str">
        <f>Code5Text</f>
        <v>No School</v>
      </c>
      <c r="W3"/>
      <c r="X3"/>
      <c r="Y3"/>
      <c r="AD3" s="32"/>
      <c r="AE3" s="32"/>
      <c r="AH3" s="34"/>
      <c r="AI3" s="35"/>
      <c r="AK3" s="36"/>
    </row>
    <row r="4" spans="1:39" customFormat="1" ht="16.5" customHeight="1"/>
    <row r="5" spans="1:39" s="2" customFormat="1" ht="18" customHeight="1">
      <c r="B5" s="65">
        <f>DATE(CalendarYear+1,2,1)</f>
        <v>41306</v>
      </c>
      <c r="C5" s="64"/>
      <c r="D5" s="46" t="str">
        <f>TEXT(WEEKDAY(DATE(CalendarYear+1,2,1),1),"aaa")</f>
        <v>Fri</v>
      </c>
      <c r="E5" s="46" t="str">
        <f>TEXT(WEEKDAY(DATE(CalendarYear+1,2,2),1),"aaa")</f>
        <v>Sat</v>
      </c>
      <c r="F5" s="46" t="str">
        <f>TEXT(WEEKDAY(DATE(CalendarYear+1,2,3),1),"aaa")</f>
        <v>Sun</v>
      </c>
      <c r="G5" s="46" t="str">
        <f>TEXT(WEEKDAY(DATE(CalendarYear+1,2,4),1),"aaa")</f>
        <v>Mon</v>
      </c>
      <c r="H5" s="46" t="str">
        <f>TEXT(WEEKDAY(DATE(CalendarYear+1,2,5),1),"aaa")</f>
        <v>Tue</v>
      </c>
      <c r="I5" s="46" t="str">
        <f>TEXT(WEEKDAY(DATE(CalendarYear+1,2,6),1),"aaa")</f>
        <v>Wed</v>
      </c>
      <c r="J5" s="46" t="str">
        <f>TEXT(WEEKDAY(DATE(CalendarYear+1,2,7),1),"aaa")</f>
        <v>Thu</v>
      </c>
      <c r="K5" s="46" t="str">
        <f>TEXT(WEEKDAY(DATE(CalendarYear+1,2,8),1),"aaa")</f>
        <v>Fri</v>
      </c>
      <c r="L5" s="46" t="str">
        <f>TEXT(WEEKDAY(DATE(CalendarYear+1,2,9),1),"aaa")</f>
        <v>Sat</v>
      </c>
      <c r="M5" s="46" t="str">
        <f>TEXT(WEEKDAY(DATE(CalendarYear+1,2,10),1),"aaa")</f>
        <v>Sun</v>
      </c>
      <c r="N5" s="46" t="str">
        <f>TEXT(WEEKDAY(DATE(CalendarYear+1,2,11),1),"aaa")</f>
        <v>Mon</v>
      </c>
      <c r="O5" s="46" t="str">
        <f>TEXT(WEEKDAY(DATE(CalendarYear+1,2,12),1),"aaa")</f>
        <v>Tue</v>
      </c>
      <c r="P5" s="46" t="str">
        <f>TEXT(WEEKDAY(DATE(CalendarYear+1,2,13),1),"aaa")</f>
        <v>Wed</v>
      </c>
      <c r="Q5" s="46" t="str">
        <f>TEXT(WEEKDAY(DATE(CalendarYear+1,2,14),1),"aaa")</f>
        <v>Thu</v>
      </c>
      <c r="R5" s="46" t="str">
        <f>TEXT(WEEKDAY(DATE(CalendarYear+1,2,15),1),"aaa")</f>
        <v>Fri</v>
      </c>
      <c r="S5" s="46" t="str">
        <f>TEXT(WEEKDAY(DATE(CalendarYear+1,2,16),1),"aaa")</f>
        <v>Sat</v>
      </c>
      <c r="T5" s="46" t="str">
        <f>TEXT(WEEKDAY(DATE(CalendarYear+1,2,17),1),"aaa")</f>
        <v>Sun</v>
      </c>
      <c r="U5" s="46" t="str">
        <f>TEXT(WEEKDAY(DATE(CalendarYear+1,2,18),1),"aaa")</f>
        <v>Mon</v>
      </c>
      <c r="V5" s="46" t="str">
        <f>TEXT(WEEKDAY(DATE(CalendarYear+1,2,19),1),"aaa")</f>
        <v>Tue</v>
      </c>
      <c r="W5" s="46" t="str">
        <f>TEXT(WEEKDAY(DATE(CalendarYear+1,2,20),1),"aaa")</f>
        <v>Wed</v>
      </c>
      <c r="X5" s="46" t="str">
        <f>TEXT(WEEKDAY(DATE(CalendarYear+1,2,21),1),"aaa")</f>
        <v>Thu</v>
      </c>
      <c r="Y5" s="46" t="str">
        <f>TEXT(WEEKDAY(DATE(CalendarYear+1,2,22),1),"aaa")</f>
        <v>Fri</v>
      </c>
      <c r="Z5" s="46" t="str">
        <f>TEXT(WEEKDAY(DATE(CalendarYear+1,2,23),1),"aaa")</f>
        <v>Sat</v>
      </c>
      <c r="AA5" s="46" t="str">
        <f>TEXT(WEEKDAY(DATE(CalendarYear+1,2,24),1),"aaa")</f>
        <v>Sun</v>
      </c>
      <c r="AB5" s="46" t="str">
        <f>TEXT(WEEKDAY(DATE(CalendarYear+1,2,25),1),"aaa")</f>
        <v>Mon</v>
      </c>
      <c r="AC5" s="46" t="str">
        <f>TEXT(WEEKDAY(DATE(CalendarYear+1,2,26),1),"aaa")</f>
        <v>Tue</v>
      </c>
      <c r="AD5" s="46" t="str">
        <f>TEXT(WEEKDAY(DATE(CalendarYear+1,2,27),1),"aaa")</f>
        <v>Wed</v>
      </c>
      <c r="AE5" s="46" t="str">
        <f>TEXT(WEEKDAY(DATE(CalendarYear+1,2,28),1),"aaa")</f>
        <v>Thu</v>
      </c>
      <c r="AF5" s="46" t="str">
        <f>TEXT(WEEKDAY(DATE(CalendarYear+1,2,29),1),"aaa")</f>
        <v>Fri</v>
      </c>
      <c r="AG5" s="46"/>
      <c r="AH5" s="46"/>
      <c r="AI5" s="127" t="s">
        <v>41</v>
      </c>
      <c r="AJ5" s="127"/>
      <c r="AK5" s="127"/>
      <c r="AL5" s="127"/>
      <c r="AM5" s="127"/>
    </row>
    <row r="6" spans="1:39" ht="14.25" customHeight="1">
      <c r="B6" s="29" t="s">
        <v>34</v>
      </c>
      <c r="C6" s="30" t="s">
        <v>36</v>
      </c>
      <c r="D6" s="31" t="s">
        <v>0</v>
      </c>
      <c r="E6" s="31" t="s">
        <v>1</v>
      </c>
      <c r="F6" s="31" t="s">
        <v>2</v>
      </c>
      <c r="G6" s="31" t="s">
        <v>3</v>
      </c>
      <c r="H6" s="31" t="s">
        <v>4</v>
      </c>
      <c r="I6" s="31" t="s">
        <v>5</v>
      </c>
      <c r="J6" s="31" t="s">
        <v>6</v>
      </c>
      <c r="K6" s="31" t="s">
        <v>7</v>
      </c>
      <c r="L6" s="31" t="s">
        <v>8</v>
      </c>
      <c r="M6" s="31" t="s">
        <v>9</v>
      </c>
      <c r="N6" s="31" t="s">
        <v>10</v>
      </c>
      <c r="O6" s="31" t="s">
        <v>11</v>
      </c>
      <c r="P6" s="31" t="s">
        <v>12</v>
      </c>
      <c r="Q6" s="31" t="s">
        <v>13</v>
      </c>
      <c r="R6" s="31" t="s">
        <v>14</v>
      </c>
      <c r="S6" s="31" t="s">
        <v>15</v>
      </c>
      <c r="T6" s="31" t="s">
        <v>16</v>
      </c>
      <c r="U6" s="31" t="s">
        <v>17</v>
      </c>
      <c r="V6" s="31" t="s">
        <v>18</v>
      </c>
      <c r="W6" s="31" t="s">
        <v>19</v>
      </c>
      <c r="X6" s="31" t="s">
        <v>20</v>
      </c>
      <c r="Y6" s="31" t="s">
        <v>21</v>
      </c>
      <c r="Z6" s="31" t="s">
        <v>22</v>
      </c>
      <c r="AA6" s="31" t="s">
        <v>23</v>
      </c>
      <c r="AB6" s="31" t="s">
        <v>24</v>
      </c>
      <c r="AC6" s="31" t="s">
        <v>25</v>
      </c>
      <c r="AD6" s="31" t="s">
        <v>26</v>
      </c>
      <c r="AE6" s="31" t="s">
        <v>27</v>
      </c>
      <c r="AF6" s="31" t="s">
        <v>28</v>
      </c>
      <c r="AG6" s="31" t="s">
        <v>29</v>
      </c>
      <c r="AH6" s="31" t="s">
        <v>30</v>
      </c>
      <c r="AI6" s="76" t="s">
        <v>37</v>
      </c>
      <c r="AJ6" s="40" t="s">
        <v>39</v>
      </c>
      <c r="AK6" s="39" t="s">
        <v>38</v>
      </c>
      <c r="AL6" s="37" t="s">
        <v>31</v>
      </c>
      <c r="AM6" t="s">
        <v>40</v>
      </c>
    </row>
    <row r="7" spans="1:39" ht="16.5" customHeight="1">
      <c r="B7" s="28"/>
      <c r="C7" s="23" t="str">
        <f>IFERROR(VLOOKUP(FebruaryAttendance[[#This Row],[Student ID]],StudentList[],18,FALSE),"")</f>
        <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3"/>
      <c r="AH7" s="3"/>
      <c r="AI7" s="38">
        <f>COUNTIF(FebruaryAttendance[[#This Row],[1]:[31]],Code1)</f>
        <v>0</v>
      </c>
      <c r="AJ7" s="38">
        <f>COUNTIF(FebruaryAttendance[[#This Row],[1]:[31]],Code2)</f>
        <v>0</v>
      </c>
      <c r="AK7" s="38">
        <f>COUNTIF(FebruaryAttendance[[#This Row],[1]:[31]],Code3)</f>
        <v>0</v>
      </c>
      <c r="AL7" s="38">
        <f>COUNTIF(FebruaryAttendance[[#This Row],[1]:[31]],Code4)</f>
        <v>0</v>
      </c>
      <c r="AM7" s="7">
        <f>SUM(FebruaryAttendance[[#This Row],[E]:[U]])</f>
        <v>0</v>
      </c>
    </row>
    <row r="8" spans="1:39" ht="16.5" customHeight="1">
      <c r="B8" s="28"/>
      <c r="C8" s="24" t="str">
        <f>IFERROR(VLOOKUP(FebruaryAttendance[[#This Row],[Student ID]],StudentList[],18,FALSE),"")</f>
        <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7"/>
      <c r="AG8" s="3"/>
      <c r="AH8" s="3"/>
      <c r="AI8" s="38">
        <f>COUNTIF(FebruaryAttendance[[#This Row],[1]:[31]],Code1)</f>
        <v>0</v>
      </c>
      <c r="AJ8" s="38">
        <f>COUNTIF(FebruaryAttendance[[#This Row],[1]:[31]],Code2)</f>
        <v>0</v>
      </c>
      <c r="AK8" s="38">
        <f>COUNTIF(FebruaryAttendance[[#This Row],[1]:[31]],Code3)</f>
        <v>0</v>
      </c>
      <c r="AL8" s="38">
        <f>COUNTIF(FebruaryAttendance[[#This Row],[1]:[31]],Code4)</f>
        <v>0</v>
      </c>
      <c r="AM8" s="7">
        <f>SUM(FebruaryAttendance[[#This Row],[E]:[U]])</f>
        <v>0</v>
      </c>
    </row>
    <row r="9" spans="1:39" ht="16.5" customHeight="1">
      <c r="B9" s="28"/>
      <c r="C9" s="24" t="str">
        <f>IFERROR(VLOOKUP(FebruaryAttendance[[#This Row],[Student ID]],StudentList[],18,FALSE),"")</f>
        <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c r="AG9" s="3"/>
      <c r="AH9" s="3"/>
      <c r="AI9" s="38">
        <f>COUNTIF(FebruaryAttendance[[#This Row],[1]:[31]],Code1)</f>
        <v>0</v>
      </c>
      <c r="AJ9" s="38">
        <f>COUNTIF(FebruaryAttendance[[#This Row],[1]:[31]],Code2)</f>
        <v>0</v>
      </c>
      <c r="AK9" s="38">
        <f>COUNTIF(FebruaryAttendance[[#This Row],[1]:[31]],Code3)</f>
        <v>0</v>
      </c>
      <c r="AL9" s="38">
        <f>COUNTIF(FebruaryAttendance[[#This Row],[1]:[31]],Code4)</f>
        <v>0</v>
      </c>
      <c r="AM9" s="7">
        <f>SUM(FebruaryAttendance[[#This Row],[E]:[U]])</f>
        <v>0</v>
      </c>
    </row>
    <row r="10" spans="1:39" ht="16.5" customHeight="1">
      <c r="B10" s="28"/>
      <c r="C10" s="24" t="str">
        <f>IFERROR(VLOOKUP(FebruaryAttendance[[#This Row],[Student ID]],StudentList[],18,FALSE),"")</f>
        <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7"/>
      <c r="AG10" s="3"/>
      <c r="AH10" s="3"/>
      <c r="AI10" s="38">
        <f>COUNTIF(FebruaryAttendance[[#This Row],[1]:[31]],Code1)</f>
        <v>0</v>
      </c>
      <c r="AJ10" s="38">
        <f>COUNTIF(FebruaryAttendance[[#This Row],[1]:[31]],Code2)</f>
        <v>0</v>
      </c>
      <c r="AK10" s="38">
        <f>COUNTIF(FebruaryAttendance[[#This Row],[1]:[31]],Code3)</f>
        <v>0</v>
      </c>
      <c r="AL10" s="38">
        <f>COUNTIF(FebruaryAttendance[[#This Row],[1]:[31]],Code4)</f>
        <v>0</v>
      </c>
      <c r="AM10" s="7">
        <f>SUM(FebruaryAttendance[[#This Row],[E]:[U]])</f>
        <v>0</v>
      </c>
    </row>
    <row r="11" spans="1:39" ht="16.5" customHeight="1">
      <c r="B11" s="28"/>
      <c r="C11" s="24" t="str">
        <f>IFERROR(VLOOKUP(FebruaryAttendance[[#This Row],[Student ID]],StudentList[],18,FALSE),"")</f>
        <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7"/>
      <c r="AG11" s="3"/>
      <c r="AH11" s="3"/>
      <c r="AI11" s="38">
        <f>COUNTIF(FebruaryAttendance[[#This Row],[1]:[31]],Code1)</f>
        <v>0</v>
      </c>
      <c r="AJ11" s="38">
        <f>COUNTIF(FebruaryAttendance[[#This Row],[1]:[31]],Code2)</f>
        <v>0</v>
      </c>
      <c r="AK11" s="38">
        <f>COUNTIF(FebruaryAttendance[[#This Row],[1]:[31]],Code3)</f>
        <v>0</v>
      </c>
      <c r="AL11" s="38">
        <f>COUNTIF(FebruaryAttendance[[#This Row],[1]:[31]],Code4)</f>
        <v>0</v>
      </c>
      <c r="AM11" s="7">
        <f>SUM(FebruaryAttendance[[#This Row],[E]:[U]])</f>
        <v>0</v>
      </c>
    </row>
    <row r="12" spans="1:39" ht="16.5" customHeight="1">
      <c r="B12" s="3"/>
      <c r="C12" s="4" t="s">
        <v>120</v>
      </c>
      <c r="D12" s="7">
        <f>COUNTIF(FebruaryAttendance[1],"U")+COUNTIF(FebruaryAttendance[1],"E")</f>
        <v>0</v>
      </c>
      <c r="E12" s="7">
        <f>COUNTIF(FebruaryAttendance[2],"U")+COUNTIF(FebruaryAttendance[2],"E")</f>
        <v>0</v>
      </c>
      <c r="F12" s="7">
        <f>COUNTIF(FebruaryAttendance[3],"U")+COUNTIF(FebruaryAttendance[3],"E")</f>
        <v>0</v>
      </c>
      <c r="G12" s="7">
        <f>COUNTIF(FebruaryAttendance[4],"U")+COUNTIF(FebruaryAttendance[4],"E")</f>
        <v>0</v>
      </c>
      <c r="H12" s="7">
        <f>COUNTIF(FebruaryAttendance[5],"U")+COUNTIF(FebruaryAttendance[5],"E")</f>
        <v>0</v>
      </c>
      <c r="I12" s="7">
        <f>COUNTIF(FebruaryAttendance[6],"U")+COUNTIF(FebruaryAttendance[6],"E")</f>
        <v>0</v>
      </c>
      <c r="J12" s="7">
        <f>COUNTIF(FebruaryAttendance[7],"U")+COUNTIF(FebruaryAttendance[7],"E")</f>
        <v>0</v>
      </c>
      <c r="K12" s="7">
        <f>COUNTIF(FebruaryAttendance[8],"U")+COUNTIF(FebruaryAttendance[8],"E")</f>
        <v>0</v>
      </c>
      <c r="L12" s="7">
        <f>COUNTIF(FebruaryAttendance[9],"U")+COUNTIF(FebruaryAttendance[9],"E")</f>
        <v>0</v>
      </c>
      <c r="M12" s="7">
        <f>COUNTIF(FebruaryAttendance[10],"U")+COUNTIF(FebruaryAttendance[10],"E")</f>
        <v>0</v>
      </c>
      <c r="N12" s="7">
        <f>COUNTIF(FebruaryAttendance[11],"U")+COUNTIF(FebruaryAttendance[11],"E")</f>
        <v>0</v>
      </c>
      <c r="O12" s="7">
        <f>COUNTIF(FebruaryAttendance[12],"U")+COUNTIF(FebruaryAttendance[12],"E")</f>
        <v>0</v>
      </c>
      <c r="P12" s="7">
        <f>COUNTIF(FebruaryAttendance[13],"U")+COUNTIF(FebruaryAttendance[13],"E")</f>
        <v>0</v>
      </c>
      <c r="Q12" s="7">
        <f>COUNTIF(FebruaryAttendance[14],"U")+COUNTIF(FebruaryAttendance[14],"E")</f>
        <v>0</v>
      </c>
      <c r="R12" s="7">
        <f>COUNTIF(FebruaryAttendance[15],"U")+COUNTIF(FebruaryAttendance[15],"E")</f>
        <v>0</v>
      </c>
      <c r="S12" s="7">
        <f>COUNTIF(FebruaryAttendance[16],"U")+COUNTIF(FebruaryAttendance[16],"E")</f>
        <v>0</v>
      </c>
      <c r="T12" s="7">
        <f>COUNTIF(FebruaryAttendance[17],"U")+COUNTIF(FebruaryAttendance[17],"E")</f>
        <v>0</v>
      </c>
      <c r="U12" s="7">
        <f>COUNTIF(FebruaryAttendance[18],"U")+COUNTIF(FebruaryAttendance[18],"E")</f>
        <v>0</v>
      </c>
      <c r="V12" s="7">
        <f>COUNTIF(FebruaryAttendance[19],"U")+COUNTIF(FebruaryAttendance[19],"E")</f>
        <v>0</v>
      </c>
      <c r="W12" s="7">
        <f>COUNTIF(FebruaryAttendance[20],"U")+COUNTIF(FebruaryAttendance[20],"E")</f>
        <v>0</v>
      </c>
      <c r="X12" s="7">
        <f>COUNTIF(FebruaryAttendance[21],"U")+COUNTIF(FebruaryAttendance[21],"E")</f>
        <v>0</v>
      </c>
      <c r="Y12" s="7">
        <f>COUNTIF(FebruaryAttendance[22],"U")+COUNTIF(FebruaryAttendance[22],"E")</f>
        <v>0</v>
      </c>
      <c r="Z12" s="7">
        <f>COUNTIF(FebruaryAttendance[23],"U")+COUNTIF(FebruaryAttendance[23],"E")</f>
        <v>0</v>
      </c>
      <c r="AA12" s="7">
        <f>COUNTIF(FebruaryAttendance[24],"U")+COUNTIF(FebruaryAttendance[24],"E")</f>
        <v>0</v>
      </c>
      <c r="AB12" s="7">
        <f>COUNTIF(FebruaryAttendance[25],"U")+COUNTIF(FebruaryAttendance[25],"E")</f>
        <v>0</v>
      </c>
      <c r="AC12" s="7">
        <f>COUNTIF(FebruaryAttendance[26],"U")+COUNTIF(FebruaryAttendance[26],"E")</f>
        <v>0</v>
      </c>
      <c r="AD12" s="7">
        <f>COUNTIF(FebruaryAttendance[27],"U")+COUNTIF(FebruaryAttendance[27],"E")</f>
        <v>0</v>
      </c>
      <c r="AE12" s="7">
        <f>COUNTIF(FebruaryAttendance[28],"U")+COUNTIF(FebruaryAttendance[28],"E")</f>
        <v>0</v>
      </c>
      <c r="AF12" s="7">
        <f>COUNTIF(FebruaryAttendance[29],"U")+COUNTIF(FebruaryAttendance[29],"E")</f>
        <v>0</v>
      </c>
      <c r="AG12" s="7"/>
      <c r="AH12" s="7"/>
      <c r="AI12" s="7">
        <f>SUBTOTAL(109,FebruaryAttendance[T])</f>
        <v>0</v>
      </c>
      <c r="AJ12" s="7">
        <f>SUBTOTAL(109,FebruaryAttendance[E])</f>
        <v>0</v>
      </c>
      <c r="AK12" s="7">
        <f>SUBTOTAL(109,FebruaryAttendance[U])</f>
        <v>0</v>
      </c>
      <c r="AL12" s="7">
        <f>SUBTOTAL(109,FebruaryAttendance[P])</f>
        <v>0</v>
      </c>
      <c r="AM12" s="7">
        <f>SUBTOTAL(109,FebruaryAttendance[Days Absent])</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CalendarYear,2,1),DATE(CalendarYear,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499" priority="2">
      <formula>DATE(CalendarYear+1,2,AF6)&gt;EOMONTH(DATE(CalendarYear+1,1,1),1)</formula>
    </cfRule>
  </conditionalFormatting>
  <conditionalFormatting sqref="D7:AF11">
    <cfRule type="expression" dxfId="498" priority="5" stopIfTrue="1">
      <formula>D7=Code2</formula>
    </cfRule>
  </conditionalFormatting>
  <conditionalFormatting sqref="D7:AF11">
    <cfRule type="expression" dxfId="497" priority="6" stopIfTrue="1">
      <formula>D7=Code5</formula>
    </cfRule>
    <cfRule type="expression" dxfId="496" priority="7" stopIfTrue="1">
      <formula>D7=Code4</formula>
    </cfRule>
    <cfRule type="expression" dxfId="495" priority="8" stopIfTrue="1">
      <formula>D7=Code3</formula>
    </cfRule>
    <cfRule type="expression" dxfId="494" priority="9" stopIfTrue="1">
      <formula>D7=Code1</formula>
    </cfRule>
  </conditionalFormatting>
  <conditionalFormatting sqref="AF6:AH6">
    <cfRule type="expression" dxfId="493" priority="1">
      <formula>DATE(CalendarYear+1,2,AF6)&gt;EOMONTH(DATE(CalendarYear+1,1,1),1)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B142716-64CB-4700-83DA-F0CFE0489A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How to use this template</vt:lpstr>
      <vt:lpstr>Student List</vt:lpstr>
      <vt:lpstr>August</vt:lpstr>
      <vt:lpstr>September</vt:lpstr>
      <vt:lpstr>October</vt:lpstr>
      <vt:lpstr>November</vt:lpstr>
      <vt:lpstr>December</vt:lpstr>
      <vt:lpstr>January</vt:lpstr>
      <vt:lpstr>February</vt:lpstr>
      <vt:lpstr>March</vt:lpstr>
      <vt:lpstr>April</vt:lpstr>
      <vt:lpstr>May</vt:lpstr>
      <vt:lpstr>June</vt:lpstr>
      <vt:lpstr>July</vt:lpstr>
      <vt:lpstr>Student Attendance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Attendance Record</dc:title>
  <dc:creator/>
  <cp:keywords/>
  <cp:lastModifiedBy>Laurel Yan</cp:lastModifiedBy>
  <dcterms:created xsi:type="dcterms:W3CDTF">2015-01-30T08:43:22Z</dcterms:created>
  <dcterms:modified xsi:type="dcterms:W3CDTF">2015-01-30T08:43:22Z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